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>
    <definedName name="_xlnm.Print_Titles" localSheetId="0">'Stavební rozpočet'!$10:$11</definedName>
  </definedNames>
  <calcPr fullCalcOnLoad="1"/>
</workbook>
</file>

<file path=xl/sharedStrings.xml><?xml version="1.0" encoding="utf-8"?>
<sst xmlns="http://schemas.openxmlformats.org/spreadsheetml/2006/main" count="740" uniqueCount="341">
  <si>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</si>
  <si>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</si>
  <si>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</si>
  <si>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</si>
  <si>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</si>
  <si>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</si>
  <si>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</si>
  <si>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</si>
  <si>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</si>
  <si>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</si>
  <si>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</si>
  <si>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</si>
  <si>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</si>
  <si>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</si>
  <si>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</si>
  <si>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</si>
  <si>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</si>
  <si>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</si>
  <si>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</si>
  <si>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</si>
  <si>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</si>
  <si>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</si>
  <si>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</si>
  <si>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</si>
  <si>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</si>
  <si>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</si>
  <si>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</si>
  <si>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</si>
  <si>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</si>
  <si>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</si>
  <si>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</si>
  <si>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</si>
  <si>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</si>
  <si>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</si>
  <si>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</si>
  <si>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</si>
  <si>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</si>
  <si>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</si>
  <si>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</si>
  <si>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</si>
  <si>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</si>
  <si>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</si>
  <si>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</si>
  <si>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</si>
  <si>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</si>
  <si>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</si>
  <si>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</si>
  <si>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</si>
  <si>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</si>
  <si>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</si>
  <si>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</si>
  <si>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</si>
  <si>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</si>
  <si>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</si>
  <si>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</si>
  <si>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</si>
  <si>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Poznámka:</t>
  </si>
  <si>
    <t>Kód</t>
  </si>
  <si>
    <t>113106121R00</t>
  </si>
  <si>
    <t>113107615R00</t>
  </si>
  <si>
    <t>113107630R00</t>
  </si>
  <si>
    <t>113108315R00</t>
  </si>
  <si>
    <t>113202111R00</t>
  </si>
  <si>
    <t>122202202R00</t>
  </si>
  <si>
    <t>122202209R00</t>
  </si>
  <si>
    <t>162301101R00</t>
  </si>
  <si>
    <t>162701105R00</t>
  </si>
  <si>
    <t>167101101R00</t>
  </si>
  <si>
    <t>171101102R00</t>
  </si>
  <si>
    <t>181101101R00</t>
  </si>
  <si>
    <t>181101102R00</t>
  </si>
  <si>
    <t>181301101R00</t>
  </si>
  <si>
    <t>183405211R00</t>
  </si>
  <si>
    <t>199000002R00</t>
  </si>
  <si>
    <t>56</t>
  </si>
  <si>
    <t>564851111R00</t>
  </si>
  <si>
    <t>564962111R00</t>
  </si>
  <si>
    <t>565161211R00</t>
  </si>
  <si>
    <t>567133115R00</t>
  </si>
  <si>
    <t>57</t>
  </si>
  <si>
    <t>573211111R00</t>
  </si>
  <si>
    <t>577142112R00</t>
  </si>
  <si>
    <t>59</t>
  </si>
  <si>
    <t>596215021R00</t>
  </si>
  <si>
    <t>596215040R00</t>
  </si>
  <si>
    <t>592451175</t>
  </si>
  <si>
    <t>592451158</t>
  </si>
  <si>
    <t>592452570</t>
  </si>
  <si>
    <t>596245041R00</t>
  </si>
  <si>
    <t>596291113R00</t>
  </si>
  <si>
    <t>596921191R00</t>
  </si>
  <si>
    <t>91</t>
  </si>
  <si>
    <t>917862111R00</t>
  </si>
  <si>
    <t>59217001</t>
  </si>
  <si>
    <t>59217010</t>
  </si>
  <si>
    <t>59217020</t>
  </si>
  <si>
    <t>918101111R00</t>
  </si>
  <si>
    <t>919735113R00</t>
  </si>
  <si>
    <t>914001121R00</t>
  </si>
  <si>
    <t>914001125R00</t>
  </si>
  <si>
    <t>40445050.A</t>
  </si>
  <si>
    <t>40445141.A</t>
  </si>
  <si>
    <t>915721111R00</t>
  </si>
  <si>
    <t>97</t>
  </si>
  <si>
    <t>979054441R00</t>
  </si>
  <si>
    <t>S</t>
  </si>
  <si>
    <t>979082213R00</t>
  </si>
  <si>
    <t>979082219R00</t>
  </si>
  <si>
    <t>979084216R00</t>
  </si>
  <si>
    <t>979084219R00</t>
  </si>
  <si>
    <t>979990001R00</t>
  </si>
  <si>
    <t>979990112R00</t>
  </si>
  <si>
    <t>998225111R00</t>
  </si>
  <si>
    <t>Ulice Husova, Hybešova - parkovací stání</t>
  </si>
  <si>
    <t>SO02 Ulice Hybešova</t>
  </si>
  <si>
    <t>Šlapanice</t>
  </si>
  <si>
    <t>Zkrácený popis</t>
  </si>
  <si>
    <t>Rozměry</t>
  </si>
  <si>
    <t>Přípravné a přidružené práce</t>
  </si>
  <si>
    <t>Rozebrání dlažeb z betonových dlaždic na sucho</t>
  </si>
  <si>
    <t>30,5   Hybešova, zpevněné plochy</t>
  </si>
  <si>
    <t>14   Hybešova, chodník</t>
  </si>
  <si>
    <t>Odstranění podkladu nad 50 m2,kam.drcené tl.15 cm</t>
  </si>
  <si>
    <t>44,5   Hybešova, podkl. vrstva chodníku</t>
  </si>
  <si>
    <t>Odstranění podkladu nad 50 m2,kam.drcené tl.30 cm</t>
  </si>
  <si>
    <t>23,2   Hybešova, podkl. vrstvy vozovky</t>
  </si>
  <si>
    <t>Odstranění podkladu pl.do 50 m2, živice tl. 15 cm</t>
  </si>
  <si>
    <t>116*0,3   Hybešova</t>
  </si>
  <si>
    <t>Vytrhání obrub z krajníků nebo obrubníků stojatých</t>
  </si>
  <si>
    <t>132   Hybešova</t>
  </si>
  <si>
    <t>Odkopávky a prokopávky</t>
  </si>
  <si>
    <t>Odkopávky pro silnice v hor. 3 do 1000 m3</t>
  </si>
  <si>
    <t>105   Hybešova</t>
  </si>
  <si>
    <t>Příplatek za lepivost - odkop. pro silnice v hor.3</t>
  </si>
  <si>
    <t>193*0,5</t>
  </si>
  <si>
    <t>Přemístění výkopku</t>
  </si>
  <si>
    <t>Vodorovné přemístění výkopku z hor.1-4 do 500 m</t>
  </si>
  <si>
    <t>6,9+4,2   ornice sejmutá na ulici Husově</t>
  </si>
  <si>
    <t>Vodorovné přemístění výkopku z hor.1-4 do 10000 m</t>
  </si>
  <si>
    <t>105   odkopávky</t>
  </si>
  <si>
    <t>-21   násypy</t>
  </si>
  <si>
    <t>Nakládání výkopku z hor.1-4 v množství do 100 m3</t>
  </si>
  <si>
    <t>11,1   ornice</t>
  </si>
  <si>
    <t>Konstrukce ze zemin</t>
  </si>
  <si>
    <t>Uložení sypaniny do násypů zhutněných na 96% PS</t>
  </si>
  <si>
    <t>21   Hybešova</t>
  </si>
  <si>
    <t>Povrchové úpravy terénu</t>
  </si>
  <si>
    <t>Úprava pláně v zářezech v hor. 1-4, bez zhutnění</t>
  </si>
  <si>
    <t>138*0,5   Hybešova</t>
  </si>
  <si>
    <t>Úprava pláně v zářezech v hor. 1-4, se zhutněním</t>
  </si>
  <si>
    <t>Rozprostření ornice, rovina, tl. do 10 cm do 500m2</t>
  </si>
  <si>
    <t>Výsev trávníku hydroosevem na ornici</t>
  </si>
  <si>
    <t>Hloubení pro podzemní stěny, ražení a hloubení důlní</t>
  </si>
  <si>
    <t>Poplatek za skládku horniny 1- 4</t>
  </si>
  <si>
    <t>Podkladní vrstvy komunikací a zpevněných ploch</t>
  </si>
  <si>
    <t>Podklad ze štěrkodrti po zhutnění tloušťky 15 cm</t>
  </si>
  <si>
    <t>193+24   Hybešova, parkoviště</t>
  </si>
  <si>
    <t>80   Hybešova, rozšíření podkladu</t>
  </si>
  <si>
    <t>Podklad z mechanicky zpevněného kameniva tl. 20 cm</t>
  </si>
  <si>
    <t>193   Hybešova</t>
  </si>
  <si>
    <t>Podklad z obal kam.ACP 16+,ACP 22+,nad 3 m,tl.8 cm</t>
  </si>
  <si>
    <t>116*0,2   Hybešova, zapravení stáv. vozovky</t>
  </si>
  <si>
    <t>Podklad z kameniva zpev.cementem KZC 2 tl.20 cm</t>
  </si>
  <si>
    <t>24   Hybešova</t>
  </si>
  <si>
    <t>Kryty štěrkových a živičných pozemních komunikací a zpevněných ploch</t>
  </si>
  <si>
    <t>Postřik živičný spojovací z asfaltu 0,5-0,7 kg/m2</t>
  </si>
  <si>
    <t>23,2+34,8</t>
  </si>
  <si>
    <t>Beton asfaltový ACO 11+, ACO 16+, nad 3 m, tl.5 cm</t>
  </si>
  <si>
    <t>116*0,3   Hybešova, zapravení stáv. vozovky</t>
  </si>
  <si>
    <t>Dlažby a předlažby pozemních komunikací a zpevněných ploch</t>
  </si>
  <si>
    <t>Kladení zámkové dlažby tl. 6 cm do drtě tl. 4 cm</t>
  </si>
  <si>
    <t>14   Hybešova, chodník, stáv. dlažba</t>
  </si>
  <si>
    <t>Kladení zámkové dlažby tl. 8 cm do drtě tl. 4 cm</t>
  </si>
  <si>
    <t>24-2,9   Hybešova, vyhrazené stání</t>
  </si>
  <si>
    <t>193   Hybešova, parkoviště</t>
  </si>
  <si>
    <t>Dlažba betonová 20x10x8 cm přírodní</t>
  </si>
  <si>
    <t>24-2,9</t>
  </si>
  <si>
    <t>;ztratné 1%; 0,211</t>
  </si>
  <si>
    <t>Dlažba betonová hmatová 20x10x8 cm červená</t>
  </si>
  <si>
    <t>5*2*0,2   Hybešova, značení parkovišť</t>
  </si>
  <si>
    <t>;ztratné 1%; 0,02</t>
  </si>
  <si>
    <t>Dlažba betonová s dist. sparami přírodní</t>
  </si>
  <si>
    <t>193-2</t>
  </si>
  <si>
    <t>;ztratné 1%; 1,91</t>
  </si>
  <si>
    <t>Kladení zámkové dlažby tl. 8 cm do MC tl. 5 cm</t>
  </si>
  <si>
    <t>2,9   Hybešova, hmatová dlažba</t>
  </si>
  <si>
    <t>2,9</t>
  </si>
  <si>
    <t>;ztratné 1%; 0,029</t>
  </si>
  <si>
    <t>Řezání zámkové dlažby tl. 80 mm</t>
  </si>
  <si>
    <t>Příplatek za výplň spár veg. dlaždic, bez dodávky</t>
  </si>
  <si>
    <t>191*0,275*0,08   výplň spar distanční dlažby ornicí</t>
  </si>
  <si>
    <t>Doplňující konstrukce a práce na pozemních komunikacích a zpevněných plochách</t>
  </si>
  <si>
    <t>Osazení stojat. obrub.bet. s opěrou,lože z C 12/15</t>
  </si>
  <si>
    <t>138   Hybešova, silniční</t>
  </si>
  <si>
    <t>116   Hybešova, nájezdový</t>
  </si>
  <si>
    <t>3   Hybešova, chodníkový</t>
  </si>
  <si>
    <t>Obrubník parkový betonový 100x250x1000 mm</t>
  </si>
  <si>
    <t>;ztratné 1%; 0,03</t>
  </si>
  <si>
    <t>Obrubník silniční betonový 150x250x1000 mm</t>
  </si>
  <si>
    <t>138</t>
  </si>
  <si>
    <t>;ztratné 1%; 1,38</t>
  </si>
  <si>
    <t>Obrubník nájezdový betonový 148,5x145x1000 mm</t>
  </si>
  <si>
    <t>116</t>
  </si>
  <si>
    <t>;ztratné 1%; 1,16</t>
  </si>
  <si>
    <t>Lože pod obrubníky nebo obruby dlažeb z C 12/15</t>
  </si>
  <si>
    <t>9,2   Hybešova</t>
  </si>
  <si>
    <t>Řezání stávajícího živičného krytu tl. 10 - 15 cm</t>
  </si>
  <si>
    <t>120   Hybešova</t>
  </si>
  <si>
    <t>Osaz.sloupku dopr.značky vč. bet.základu+Al patka</t>
  </si>
  <si>
    <t>1   Hybešova</t>
  </si>
  <si>
    <t>Osazení svislé dopr.značky na sloupek nebo konzolu</t>
  </si>
  <si>
    <t>2   Hybešova</t>
  </si>
  <si>
    <t>Značka dopr inf IP 11-13 500/700 fól1, EG7letá</t>
  </si>
  <si>
    <t>Značka dopr dodat E1,2a,b 500/500 fól 1, EG 7letá</t>
  </si>
  <si>
    <t>Vodorovné značení střík.barvou stopčar,zeber atd.</t>
  </si>
  <si>
    <t>1   Hybešova, symbol O1</t>
  </si>
  <si>
    <t>Prorážení otvorů a ostatní bourací práce</t>
  </si>
  <si>
    <t>Očištění vybour. dlaždic s výplní kamen. těženým</t>
  </si>
  <si>
    <t>Přesuny sutí</t>
  </si>
  <si>
    <t>Vodorovná doprava suti po suchu do 1 km</t>
  </si>
  <si>
    <t>34,8*0,33   živice</t>
  </si>
  <si>
    <t>44,5*0,33+23,2*0,66   kamenivo drcené</t>
  </si>
  <si>
    <t>Příplatek za dopravu suti po suchu za další 1 km</t>
  </si>
  <si>
    <t>41,481*9</t>
  </si>
  <si>
    <t>Vodorovná doprava vybour. hmot po suchu do 5 km</t>
  </si>
  <si>
    <t>132*0,145   obrubníky</t>
  </si>
  <si>
    <t>30,5*0,138   dlažba</t>
  </si>
  <si>
    <t>Příplatek k dopravě vybour.hmot za dalších 5 km</t>
  </si>
  <si>
    <t>Poplatek za skládku stavební suti</t>
  </si>
  <si>
    <t>29,997+23,349</t>
  </si>
  <si>
    <t>Poplatek za skládku suti - obalované kam. - asfalt</t>
  </si>
  <si>
    <t>11,484</t>
  </si>
  <si>
    <t>Přesun hmot, pozemní komunikace, kryt živičný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</si>
  <si>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</si>
  <si>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</si>
  <si>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</si>
  <si>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</si>
  <si>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</si>
  <si>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</si>
  <si>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</si>
  <si>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</si>
  <si>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kus</t>
  </si>
  <si>
    <t>t</t>
  </si>
  <si>
    <t>Množství</t>
  </si>
  <si>
    <t>04.04.2018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</si>
  <si>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</si>
  <si>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</si>
  <si>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</si>
  <si>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</si>
  <si>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</si>
  <si>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</si>
  <si>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</si>
  <si>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</si>
  <si>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</si>
  <si>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</si>
  <si>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Šlapanice</t>
  </si>
  <si>
    <t>Matula, projekční kancelář, Šumavská 15, Brno, 602</t>
  </si>
  <si>
    <t>Ing. Krejčíková</t>
  </si>
  <si>
    <t>Celkem</t>
  </si>
  <si>
    <t>Hmotnost (t)</t>
  </si>
  <si>
    <t>Cenová</t>
  </si>
  <si>
    <t>soustava</t>
  </si>
  <si>
    <t>RTS II / 2017</t>
  </si>
  <si>
    <t>RTS II / 2015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</si>
  <si>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</si>
  <si>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</si>
  <si>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</si>
  <si>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</si>
  <si>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</si>
  <si>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</si>
  <si>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</si>
  <si>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</si>
  <si>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</si>
  <si>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</si>
  <si>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</si>
  <si>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</si>
  <si>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</si>
  <si>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17_</t>
  </si>
  <si>
    <t>18_</t>
  </si>
  <si>
    <t>19_</t>
  </si>
  <si>
    <t>56_</t>
  </si>
  <si>
    <t>57_</t>
  </si>
  <si>
    <t>59_</t>
  </si>
  <si>
    <t>91_</t>
  </si>
  <si>
    <t>97_</t>
  </si>
  <si>
    <t>S_</t>
  </si>
  <si>
    <t>1_</t>
  </si>
  <si>
    <t>5_</t>
  </si>
  <si>
    <t>9_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</si>
  <si>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</si>
  <si>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</si>
  <si>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</si>
  <si>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</si>
  <si>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</si>
  <si>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</si>
  <si>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</si>
  <si>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</si>
  <si>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</si>
  <si>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</si>
  <si>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</si>
  <si>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</si>
  <si>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</si>
  <si>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</si>
  <si>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</si>
  <si>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</si>
  <si>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</si>
  <si>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</si>
  <si>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</si>
  <si>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</si>
  <si>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</si>
  <si>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</si>
  <si>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</si>
  <si>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</si>
  <si>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</si>
  <si>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</si>
  <si>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</si>
  <si>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</si>
  <si>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</si>
  <si>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</si>
  <si>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</si>
  <si>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</si>
  <si>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</si>
  <si>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</si>
  <si>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</si>
  <si>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</si>
  <si>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</si>
  <si>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</si>
  <si>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</si>
  <si>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</si>
  <si>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</si>
  <si>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</si>
  <si>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</si>
  <si>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</si>
  <si>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</si>
  <si>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</si>
  <si>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</si>
  <si>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</si>
  <si>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</si>
  <si>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</si>
  <si>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</si>
  <si>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Výkaz výměr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</si>
</sst>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9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11" fillId="34" borderId="32" xfId="0" applyNumberFormat="1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3" fillId="0" borderId="3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3" fillId="0" borderId="32" xfId="0" applyNumberFormat="1" applyFont="1" applyFill="1" applyBorder="1" applyAlignment="1" applyProtection="1">
      <alignment horizontal="right" vertical="center"/>
      <protection/>
    </xf>
    <xf numFmtId="49" fontId="13" fillId="0" borderId="32" xfId="0" applyNumberFormat="1" applyFont="1" applyFill="1" applyBorder="1" applyAlignment="1" applyProtection="1">
      <alignment horizontal="right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49" fontId="13" fillId="0" borderId="37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49" fontId="12" fillId="34" borderId="37" xfId="0" applyNumberFormat="1" applyFont="1" applyFill="1" applyBorder="1" applyAlignment="1" applyProtection="1">
      <alignment vertical="center"/>
      <protection/>
    </xf>
    <xf numFmtId="0" fontId="12" fillId="34" borderId="47" xfId="0" applyNumberFormat="1" applyFont="1" applyFill="1" applyBorder="1" applyAlignment="1" applyProtection="1">
      <alignment vertical="center"/>
      <protection/>
    </xf>
    <xf numFmtId="49" fontId="13" fillId="0" borderId="48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49" xfId="0" applyNumberFormat="1" applyFont="1" applyFill="1" applyBorder="1" applyAlignment="1" applyProtection="1">
      <alignment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50" xfId="0" applyNumberFormat="1" applyFont="1" applyFill="1" applyBorder="1" applyAlignment="1" applyProtection="1">
      <alignment vertical="center"/>
      <protection/>
    </xf>
    <xf numFmtId="49" fontId="13" fillId="0" borderId="51" xfId="0" applyNumberFormat="1" applyFont="1" applyFill="1" applyBorder="1" applyAlignment="1" applyProtection="1">
      <alignment vertical="center"/>
      <protection/>
    </xf>
    <xf numFmtId="0" fontId="13" fillId="0" borderId="41" xfId="0" applyNumberFormat="1" applyFont="1" applyFill="1" applyBorder="1" applyAlignment="1" applyProtection="1">
      <alignment vertical="center"/>
      <protection/>
    </xf>
    <xf numFmtId="0" fontId="13" fillId="0" borderId="52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2" sqref="A2:B3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47.140625" style="0" customWidth="1"/>
    <col min="4" max="4" width="4.281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8" width="12.140625" style="0" hidden="1" customWidth="1"/>
  </cols>
  <sheetData>
    <row r="1" spans="1:12" ht="72.75" customHeight="1">
      <c r="A1" s="67" t="s">
        <v>340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ht="12.75">
      <c r="A2" s="69" t="s">
        <v>0</v>
      </c>
      <c r="B2" s="70"/>
      <c r="C2" s="73" t="s">
        <v>113</v>
      </c>
      <c r="D2" s="75" t="s">
        <v>233</v>
      </c>
      <c r="E2" s="70"/>
      <c r="F2" s="75" t="s">
        <v>5</v>
      </c>
      <c r="G2" s="70"/>
      <c r="H2" s="76" t="s">
        <v>250</v>
      </c>
      <c r="I2" s="76" t="s">
        <v>255</v>
      </c>
      <c r="J2" s="70"/>
      <c r="K2" s="70"/>
      <c r="L2" s="77"/>
      <c r="M2" s="1"/>
    </row>
    <row r="3" spans="1:13" ht="12.75">
      <c r="A3" s="71"/>
      <c r="B3" s="72"/>
      <c r="C3" s="74"/>
      <c r="D3" s="72"/>
      <c r="E3" s="72"/>
      <c r="F3" s="72"/>
      <c r="G3" s="72"/>
      <c r="H3" s="72"/>
      <c r="I3" s="72"/>
      <c r="J3" s="72"/>
      <c r="K3" s="72"/>
      <c r="L3" s="78"/>
      <c r="M3" s="1"/>
    </row>
    <row r="4" spans="1:13" ht="12.75">
      <c r="A4" s="79" t="s">
        <v>1</v>
      </c>
      <c r="B4" s="72"/>
      <c r="C4" s="80" t="s">
        <v>114</v>
      </c>
      <c r="D4" s="81" t="s">
        <v>234</v>
      </c>
      <c r="E4" s="72"/>
      <c r="F4" s="81" t="s">
        <v>5</v>
      </c>
      <c r="G4" s="72"/>
      <c r="H4" s="80" t="s">
        <v>251</v>
      </c>
      <c r="I4" s="80" t="s">
        <v>256</v>
      </c>
      <c r="J4" s="72"/>
      <c r="K4" s="72"/>
      <c r="L4" s="78"/>
      <c r="M4" s="1"/>
    </row>
    <row r="5" spans="1:13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8"/>
      <c r="M5" s="1"/>
    </row>
    <row r="6" spans="1:13" ht="12.75">
      <c r="A6" s="79" t="s">
        <v>2</v>
      </c>
      <c r="B6" s="72"/>
      <c r="C6" s="80" t="s">
        <v>115</v>
      </c>
      <c r="D6" s="81" t="s">
        <v>235</v>
      </c>
      <c r="E6" s="72"/>
      <c r="F6" s="81" t="s">
        <v>5</v>
      </c>
      <c r="G6" s="72"/>
      <c r="H6" s="80" t="s">
        <v>252</v>
      </c>
      <c r="I6" s="80" t="s">
        <v>5</v>
      </c>
      <c r="J6" s="72"/>
      <c r="K6" s="72"/>
      <c r="L6" s="78"/>
      <c r="M6" s="1"/>
    </row>
    <row r="7" spans="1:13" ht="12.7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8"/>
      <c r="M7" s="1"/>
    </row>
    <row r="8" spans="1:13" ht="12.75">
      <c r="A8" s="79" t="s">
        <v>3</v>
      </c>
      <c r="B8" s="72"/>
      <c r="C8" s="80" t="s">
        <v>5</v>
      </c>
      <c r="D8" s="81" t="s">
        <v>236</v>
      </c>
      <c r="E8" s="72"/>
      <c r="F8" s="81" t="s">
        <v>244</v>
      </c>
      <c r="G8" s="72"/>
      <c r="H8" s="80" t="s">
        <v>253</v>
      </c>
      <c r="I8" s="80" t="s">
        <v>257</v>
      </c>
      <c r="J8" s="72"/>
      <c r="K8" s="72"/>
      <c r="L8" s="78"/>
      <c r="M8" s="1"/>
    </row>
    <row r="9" spans="1:13" ht="12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1"/>
    </row>
    <row r="10" spans="1:13" ht="12.75">
      <c r="A10" s="2" t="s">
        <v>4</v>
      </c>
      <c r="B10" s="11" t="s">
        <v>57</v>
      </c>
      <c r="C10" s="11" t="s">
        <v>116</v>
      </c>
      <c r="D10" s="11" t="s">
        <v>237</v>
      </c>
      <c r="E10" s="18" t="s">
        <v>243</v>
      </c>
      <c r="F10" s="23" t="s">
        <v>245</v>
      </c>
      <c r="G10" s="85" t="s">
        <v>247</v>
      </c>
      <c r="H10" s="86"/>
      <c r="I10" s="87"/>
      <c r="J10" s="85" t="s">
        <v>259</v>
      </c>
      <c r="K10" s="87"/>
      <c r="L10" s="32" t="s">
        <v>260</v>
      </c>
      <c r="M10" s="37"/>
    </row>
    <row r="11" spans="1:24" ht="12.75">
      <c r="A11" s="3" t="s">
        <v>5</v>
      </c>
      <c r="B11" s="12" t="s">
        <v>5</v>
      </c>
      <c r="C11" s="15" t="s">
        <v>117</v>
      </c>
      <c r="D11" s="12" t="s">
        <v>5</v>
      </c>
      <c r="E11" s="12" t="s">
        <v>5</v>
      </c>
      <c r="F11" s="24" t="s">
        <v>246</v>
      </c>
      <c r="G11" s="25" t="s">
        <v>248</v>
      </c>
      <c r="H11" s="26" t="s">
        <v>254</v>
      </c>
      <c r="I11" s="27" t="s">
        <v>258</v>
      </c>
      <c r="J11" s="25" t="s">
        <v>245</v>
      </c>
      <c r="K11" s="27" t="s">
        <v>258</v>
      </c>
      <c r="L11" s="33" t="s">
        <v>261</v>
      </c>
      <c r="M11" s="37"/>
      <c r="P11" s="29" t="s">
        <v>265</v>
      </c>
      <c r="Q11" s="29" t="s">
        <v>266</v>
      </c>
      <c r="R11" s="29" t="s">
        <v>267</v>
      </c>
      <c r="S11" s="29" t="s">
        <v>268</v>
      </c>
      <c r="T11" s="29" t="s">
        <v>269</v>
      </c>
      <c r="U11" s="29" t="s">
        <v>270</v>
      </c>
      <c r="V11" s="29" t="s">
        <v>271</v>
      </c>
      <c r="W11" s="29" t="s">
        <v>272</v>
      </c>
      <c r="X11" s="29" t="s">
        <v>273</v>
      </c>
    </row>
    <row r="12" spans="1:37" ht="12.75">
      <c r="A12" s="4"/>
      <c r="B12" s="13" t="s">
        <v>16</v>
      </c>
      <c r="C12" s="13" t="s">
        <v>118</v>
      </c>
      <c r="D12" s="4" t="s">
        <v>5</v>
      </c>
      <c r="E12" s="4" t="s">
        <v>5</v>
      </c>
      <c r="F12" s="4" t="s">
        <v>5</v>
      </c>
      <c r="G12" s="40">
        <f>SUM(G13:G22)</f>
        <v>0</v>
      </c>
      <c r="H12" s="40">
        <f>SUM(H13:H22)</f>
        <v>0</v>
      </c>
      <c r="I12" s="40">
        <f>G12+H12</f>
        <v>0</v>
      </c>
      <c r="J12" s="28"/>
      <c r="K12" s="40">
        <f>SUM(K13:K22)</f>
        <v>66.762</v>
      </c>
      <c r="L12" s="28"/>
      <c r="Y12" s="29"/>
      <c r="AI12" s="41">
        <f>SUM(Z13:Z22)</f>
        <v>0</v>
      </c>
      <c r="AJ12" s="41">
        <f>SUM(AA13:AA22)</f>
        <v>0</v>
      </c>
      <c r="AK12" s="41">
        <f>SUM(AB13:AB22)</f>
        <v>0</v>
      </c>
    </row>
    <row r="13" spans="1:48" ht="12.75">
      <c r="A13" s="5" t="s">
        <v>6</v>
      </c>
      <c r="B13" s="5" t="s">
        <v>58</v>
      </c>
      <c r="C13" s="5" t="s">
        <v>119</v>
      </c>
      <c r="D13" s="5" t="s">
        <v>238</v>
      </c>
      <c r="E13" s="19">
        <v>44.5</v>
      </c>
      <c r="F13" s="19">
        <v>0</v>
      </c>
      <c r="G13" s="19">
        <f>E13*AE13</f>
        <v>0</v>
      </c>
      <c r="H13" s="19">
        <f>I13-G13</f>
        <v>0</v>
      </c>
      <c r="I13" s="19">
        <f>E13*F13</f>
        <v>0</v>
      </c>
      <c r="J13" s="19">
        <v>0.138</v>
      </c>
      <c r="K13" s="19">
        <f>E13*J13</f>
        <v>6.141000000000001</v>
      </c>
      <c r="L13" s="34" t="s">
        <v>262</v>
      </c>
      <c r="P13" s="38">
        <f>IF(AG13="5",I13,0)</f>
        <v>0</v>
      </c>
      <c r="R13" s="38">
        <f>IF(AG13="1",G13,0)</f>
        <v>0</v>
      </c>
      <c r="S13" s="38">
        <f>IF(AG13="1",H13,0)</f>
        <v>0</v>
      </c>
      <c r="T13" s="38">
        <f>IF(AG13="7",G13,0)</f>
        <v>0</v>
      </c>
      <c r="U13" s="38">
        <f>IF(AG13="7",H13,0)</f>
        <v>0</v>
      </c>
      <c r="V13" s="38">
        <f>IF(AG13="2",G13,0)</f>
        <v>0</v>
      </c>
      <c r="W13" s="38">
        <f>IF(AG13="2",H13,0)</f>
        <v>0</v>
      </c>
      <c r="X13" s="38">
        <f>IF(AG13="0",I13,0)</f>
        <v>0</v>
      </c>
      <c r="Y13" s="29"/>
      <c r="Z13" s="19">
        <f>IF(AD13=0,I13,0)</f>
        <v>0</v>
      </c>
      <c r="AA13" s="19">
        <f>IF(AD13=15,I13,0)</f>
        <v>0</v>
      </c>
      <c r="AB13" s="19">
        <f>IF(AD13=21,I13,0)</f>
        <v>0</v>
      </c>
      <c r="AD13" s="38">
        <v>21</v>
      </c>
      <c r="AE13" s="38">
        <f>F13*0</f>
        <v>0</v>
      </c>
      <c r="AF13" s="38">
        <f>F13*(1-0)</f>
        <v>0</v>
      </c>
      <c r="AG13" s="34" t="s">
        <v>6</v>
      </c>
      <c r="AM13" s="38">
        <f>E13*AE13</f>
        <v>0</v>
      </c>
      <c r="AN13" s="38">
        <f>E13*AF13</f>
        <v>0</v>
      </c>
      <c r="AO13" s="39" t="s">
        <v>274</v>
      </c>
      <c r="AP13" s="39" t="s">
        <v>286</v>
      </c>
      <c r="AQ13" s="29" t="s">
        <v>289</v>
      </c>
      <c r="AS13" s="38">
        <f>AM13+AN13</f>
        <v>0</v>
      </c>
      <c r="AT13" s="38">
        <f>F13/(100-AU13)*100</f>
        <v>0</v>
      </c>
      <c r="AU13" s="38">
        <v>0</v>
      </c>
      <c r="AV13" s="38">
        <f>K13</f>
        <v>6.141000000000001</v>
      </c>
    </row>
    <row r="14" spans="3:5" ht="12.75">
      <c r="C14" s="16" t="s">
        <v>120</v>
      </c>
      <c r="E14" s="20">
        <v>30.5</v>
      </c>
    </row>
    <row r="15" spans="3:5" ht="12.75">
      <c r="C15" s="16" t="s">
        <v>121</v>
      </c>
      <c r="E15" s="20">
        <v>14</v>
      </c>
    </row>
    <row r="16" spans="1:48" ht="12.75">
      <c r="A16" s="5" t="s">
        <v>7</v>
      </c>
      <c r="B16" s="5" t="s">
        <v>59</v>
      </c>
      <c r="C16" s="5" t="s">
        <v>122</v>
      </c>
      <c r="D16" s="5" t="s">
        <v>238</v>
      </c>
      <c r="E16" s="19">
        <v>44.5</v>
      </c>
      <c r="F16" s="19">
        <v>0</v>
      </c>
      <c r="G16" s="19">
        <f>E16*AE16</f>
        <v>0</v>
      </c>
      <c r="H16" s="19">
        <f>I16-G16</f>
        <v>0</v>
      </c>
      <c r="I16" s="19">
        <f>E16*F16</f>
        <v>0</v>
      </c>
      <c r="J16" s="19">
        <v>0.33</v>
      </c>
      <c r="K16" s="19">
        <f>E16*J16</f>
        <v>14.685</v>
      </c>
      <c r="L16" s="34" t="s">
        <v>262</v>
      </c>
      <c r="P16" s="38">
        <f>IF(AG16="5",I16,0)</f>
        <v>0</v>
      </c>
      <c r="R16" s="38">
        <f>IF(AG16="1",G16,0)</f>
        <v>0</v>
      </c>
      <c r="S16" s="38">
        <f>IF(AG16="1",H16,0)</f>
        <v>0</v>
      </c>
      <c r="T16" s="38">
        <f>IF(AG16="7",G16,0)</f>
        <v>0</v>
      </c>
      <c r="U16" s="38">
        <f>IF(AG16="7",H16,0)</f>
        <v>0</v>
      </c>
      <c r="V16" s="38">
        <f>IF(AG16="2",G16,0)</f>
        <v>0</v>
      </c>
      <c r="W16" s="38">
        <f>IF(AG16="2",H16,0)</f>
        <v>0</v>
      </c>
      <c r="X16" s="38">
        <f>IF(AG16="0",I16,0)</f>
        <v>0</v>
      </c>
      <c r="Y16" s="29"/>
      <c r="Z16" s="19">
        <f>IF(AD16=0,I16,0)</f>
        <v>0</v>
      </c>
      <c r="AA16" s="19">
        <f>IF(AD16=15,I16,0)</f>
        <v>0</v>
      </c>
      <c r="AB16" s="19">
        <f>IF(AD16=21,I16,0)</f>
        <v>0</v>
      </c>
      <c r="AD16" s="38">
        <v>21</v>
      </c>
      <c r="AE16" s="38">
        <f>F16*0</f>
        <v>0</v>
      </c>
      <c r="AF16" s="38">
        <f>F16*(1-0)</f>
        <v>0</v>
      </c>
      <c r="AG16" s="34" t="s">
        <v>6</v>
      </c>
      <c r="AM16" s="38">
        <f>E16*AE16</f>
        <v>0</v>
      </c>
      <c r="AN16" s="38">
        <f>E16*AF16</f>
        <v>0</v>
      </c>
      <c r="AO16" s="39" t="s">
        <v>274</v>
      </c>
      <c r="AP16" s="39" t="s">
        <v>286</v>
      </c>
      <c r="AQ16" s="29" t="s">
        <v>289</v>
      </c>
      <c r="AS16" s="38">
        <f>AM16+AN16</f>
        <v>0</v>
      </c>
      <c r="AT16" s="38">
        <f>F16/(100-AU16)*100</f>
        <v>0</v>
      </c>
      <c r="AU16" s="38">
        <v>0</v>
      </c>
      <c r="AV16" s="38">
        <f>K16</f>
        <v>14.685</v>
      </c>
    </row>
    <row r="17" spans="3:5" ht="12.75">
      <c r="C17" s="16" t="s">
        <v>123</v>
      </c>
      <c r="E17" s="20">
        <v>44.5</v>
      </c>
    </row>
    <row r="18" spans="1:48" ht="12.75">
      <c r="A18" s="5" t="s">
        <v>8</v>
      </c>
      <c r="B18" s="5" t="s">
        <v>60</v>
      </c>
      <c r="C18" s="5" t="s">
        <v>124</v>
      </c>
      <c r="D18" s="5" t="s">
        <v>238</v>
      </c>
      <c r="E18" s="19">
        <v>23.2</v>
      </c>
      <c r="F18" s="19">
        <v>0</v>
      </c>
      <c r="G18" s="19">
        <f>E18*AE18</f>
        <v>0</v>
      </c>
      <c r="H18" s="19">
        <f>I18-G18</f>
        <v>0</v>
      </c>
      <c r="I18" s="19">
        <f>E18*F18</f>
        <v>0</v>
      </c>
      <c r="J18" s="19">
        <v>0.66</v>
      </c>
      <c r="K18" s="19">
        <f>E18*J18</f>
        <v>15.312</v>
      </c>
      <c r="L18" s="34" t="s">
        <v>262</v>
      </c>
      <c r="P18" s="38">
        <f>IF(AG18="5",I18,0)</f>
        <v>0</v>
      </c>
      <c r="R18" s="38">
        <f>IF(AG18="1",G18,0)</f>
        <v>0</v>
      </c>
      <c r="S18" s="38">
        <f>IF(AG18="1",H18,0)</f>
        <v>0</v>
      </c>
      <c r="T18" s="38">
        <f>IF(AG18="7",G18,0)</f>
        <v>0</v>
      </c>
      <c r="U18" s="38">
        <f>IF(AG18="7",H18,0)</f>
        <v>0</v>
      </c>
      <c r="V18" s="38">
        <f>IF(AG18="2",G18,0)</f>
        <v>0</v>
      </c>
      <c r="W18" s="38">
        <f>IF(AG18="2",H18,0)</f>
        <v>0</v>
      </c>
      <c r="X18" s="38">
        <f>IF(AG18="0",I18,0)</f>
        <v>0</v>
      </c>
      <c r="Y18" s="29"/>
      <c r="Z18" s="19">
        <f>IF(AD18=0,I18,0)</f>
        <v>0</v>
      </c>
      <c r="AA18" s="19">
        <f>IF(AD18=15,I18,0)</f>
        <v>0</v>
      </c>
      <c r="AB18" s="19">
        <f>IF(AD18=21,I18,0)</f>
        <v>0</v>
      </c>
      <c r="AD18" s="38">
        <v>21</v>
      </c>
      <c r="AE18" s="38">
        <f>F18*0</f>
        <v>0</v>
      </c>
      <c r="AF18" s="38">
        <f>F18*(1-0)</f>
        <v>0</v>
      </c>
      <c r="AG18" s="34" t="s">
        <v>6</v>
      </c>
      <c r="AM18" s="38">
        <f>E18*AE18</f>
        <v>0</v>
      </c>
      <c r="AN18" s="38">
        <f>E18*AF18</f>
        <v>0</v>
      </c>
      <c r="AO18" s="39" t="s">
        <v>274</v>
      </c>
      <c r="AP18" s="39" t="s">
        <v>286</v>
      </c>
      <c r="AQ18" s="29" t="s">
        <v>289</v>
      </c>
      <c r="AS18" s="38">
        <f>AM18+AN18</f>
        <v>0</v>
      </c>
      <c r="AT18" s="38">
        <f>F18/(100-AU18)*100</f>
        <v>0</v>
      </c>
      <c r="AU18" s="38">
        <v>0</v>
      </c>
      <c r="AV18" s="38">
        <f>K18</f>
        <v>15.312</v>
      </c>
    </row>
    <row r="19" spans="3:5" ht="12.75">
      <c r="C19" s="16" t="s">
        <v>125</v>
      </c>
      <c r="E19" s="20">
        <v>23.2</v>
      </c>
    </row>
    <row r="20" spans="1:48" ht="12.75">
      <c r="A20" s="5" t="s">
        <v>9</v>
      </c>
      <c r="B20" s="5" t="s">
        <v>61</v>
      </c>
      <c r="C20" s="5" t="s">
        <v>126</v>
      </c>
      <c r="D20" s="5" t="s">
        <v>238</v>
      </c>
      <c r="E20" s="19">
        <v>34.8</v>
      </c>
      <c r="F20" s="19">
        <v>0</v>
      </c>
      <c r="G20" s="19">
        <f>E20*AE20</f>
        <v>0</v>
      </c>
      <c r="H20" s="19">
        <f>I20-G20</f>
        <v>0</v>
      </c>
      <c r="I20" s="19">
        <f>E20*F20</f>
        <v>0</v>
      </c>
      <c r="J20" s="19">
        <v>0.33</v>
      </c>
      <c r="K20" s="19">
        <f>E20*J20</f>
        <v>11.484</v>
      </c>
      <c r="L20" s="34" t="s">
        <v>262</v>
      </c>
      <c r="P20" s="38">
        <f>IF(AG20="5",I20,0)</f>
        <v>0</v>
      </c>
      <c r="R20" s="38">
        <f>IF(AG20="1",G20,0)</f>
        <v>0</v>
      </c>
      <c r="S20" s="38">
        <f>IF(AG20="1",H20,0)</f>
        <v>0</v>
      </c>
      <c r="T20" s="38">
        <f>IF(AG20="7",G20,0)</f>
        <v>0</v>
      </c>
      <c r="U20" s="38">
        <f>IF(AG20="7",H20,0)</f>
        <v>0</v>
      </c>
      <c r="V20" s="38">
        <f>IF(AG20="2",G20,0)</f>
        <v>0</v>
      </c>
      <c r="W20" s="38">
        <f>IF(AG20="2",H20,0)</f>
        <v>0</v>
      </c>
      <c r="X20" s="38">
        <f>IF(AG20="0",I20,0)</f>
        <v>0</v>
      </c>
      <c r="Y20" s="29"/>
      <c r="Z20" s="19">
        <f>IF(AD20=0,I20,0)</f>
        <v>0</v>
      </c>
      <c r="AA20" s="19">
        <f>IF(AD20=15,I20,0)</f>
        <v>0</v>
      </c>
      <c r="AB20" s="19">
        <f>IF(AD20=21,I20,0)</f>
        <v>0</v>
      </c>
      <c r="AD20" s="38">
        <v>21</v>
      </c>
      <c r="AE20" s="38">
        <f>F20*0</f>
        <v>0</v>
      </c>
      <c r="AF20" s="38">
        <f>F20*(1-0)</f>
        <v>0</v>
      </c>
      <c r="AG20" s="34" t="s">
        <v>6</v>
      </c>
      <c r="AM20" s="38">
        <f>E20*AE20</f>
        <v>0</v>
      </c>
      <c r="AN20" s="38">
        <f>E20*AF20</f>
        <v>0</v>
      </c>
      <c r="AO20" s="39" t="s">
        <v>274</v>
      </c>
      <c r="AP20" s="39" t="s">
        <v>286</v>
      </c>
      <c r="AQ20" s="29" t="s">
        <v>289</v>
      </c>
      <c r="AS20" s="38">
        <f>AM20+AN20</f>
        <v>0</v>
      </c>
      <c r="AT20" s="38">
        <f>F20/(100-AU20)*100</f>
        <v>0</v>
      </c>
      <c r="AU20" s="38">
        <v>0</v>
      </c>
      <c r="AV20" s="38">
        <f>K20</f>
        <v>11.484</v>
      </c>
    </row>
    <row r="21" spans="3:5" ht="12.75">
      <c r="C21" s="16" t="s">
        <v>127</v>
      </c>
      <c r="E21" s="20">
        <v>34.8</v>
      </c>
    </row>
    <row r="22" spans="1:48" ht="12.75">
      <c r="A22" s="5" t="s">
        <v>10</v>
      </c>
      <c r="B22" s="5" t="s">
        <v>62</v>
      </c>
      <c r="C22" s="5" t="s">
        <v>128</v>
      </c>
      <c r="D22" s="5" t="s">
        <v>239</v>
      </c>
      <c r="E22" s="19">
        <v>132</v>
      </c>
      <c r="F22" s="19">
        <v>0</v>
      </c>
      <c r="G22" s="19">
        <f>E22*AE22</f>
        <v>0</v>
      </c>
      <c r="H22" s="19">
        <f>I22-G22</f>
        <v>0</v>
      </c>
      <c r="I22" s="19">
        <f>E22*F22</f>
        <v>0</v>
      </c>
      <c r="J22" s="19">
        <v>0.145</v>
      </c>
      <c r="K22" s="19">
        <f>E22*J22</f>
        <v>19.139999999999997</v>
      </c>
      <c r="L22" s="34" t="s">
        <v>262</v>
      </c>
      <c r="P22" s="38">
        <f>IF(AG22="5",I22,0)</f>
        <v>0</v>
      </c>
      <c r="R22" s="38">
        <f>IF(AG22="1",G22,0)</f>
        <v>0</v>
      </c>
      <c r="S22" s="38">
        <f>IF(AG22="1",H22,0)</f>
        <v>0</v>
      </c>
      <c r="T22" s="38">
        <f>IF(AG22="7",G22,0)</f>
        <v>0</v>
      </c>
      <c r="U22" s="38">
        <f>IF(AG22="7",H22,0)</f>
        <v>0</v>
      </c>
      <c r="V22" s="38">
        <f>IF(AG22="2",G22,0)</f>
        <v>0</v>
      </c>
      <c r="W22" s="38">
        <f>IF(AG22="2",H22,0)</f>
        <v>0</v>
      </c>
      <c r="X22" s="38">
        <f>IF(AG22="0",I22,0)</f>
        <v>0</v>
      </c>
      <c r="Y22" s="29"/>
      <c r="Z22" s="19">
        <f>IF(AD22=0,I22,0)</f>
        <v>0</v>
      </c>
      <c r="AA22" s="19">
        <f>IF(AD22=15,I22,0)</f>
        <v>0</v>
      </c>
      <c r="AB22" s="19">
        <f>IF(AD22=21,I22,0)</f>
        <v>0</v>
      </c>
      <c r="AD22" s="38">
        <v>21</v>
      </c>
      <c r="AE22" s="38">
        <f>F22*0</f>
        <v>0</v>
      </c>
      <c r="AF22" s="38">
        <f>F22*(1-0)</f>
        <v>0</v>
      </c>
      <c r="AG22" s="34" t="s">
        <v>6</v>
      </c>
      <c r="AM22" s="38">
        <f>E22*AE22</f>
        <v>0</v>
      </c>
      <c r="AN22" s="38">
        <f>E22*AF22</f>
        <v>0</v>
      </c>
      <c r="AO22" s="39" t="s">
        <v>274</v>
      </c>
      <c r="AP22" s="39" t="s">
        <v>286</v>
      </c>
      <c r="AQ22" s="29" t="s">
        <v>289</v>
      </c>
      <c r="AS22" s="38">
        <f>AM22+AN22</f>
        <v>0</v>
      </c>
      <c r="AT22" s="38">
        <f>F22/(100-AU22)*100</f>
        <v>0</v>
      </c>
      <c r="AU22" s="38">
        <v>0</v>
      </c>
      <c r="AV22" s="38">
        <f>K22</f>
        <v>19.139999999999997</v>
      </c>
    </row>
    <row r="23" spans="3:5" ht="12.75">
      <c r="C23" s="16" t="s">
        <v>129</v>
      </c>
      <c r="E23" s="20">
        <v>132</v>
      </c>
    </row>
    <row r="24" spans="1:37" ht="12.75">
      <c r="A24" s="6"/>
      <c r="B24" s="14" t="s">
        <v>17</v>
      </c>
      <c r="C24" s="14" t="s">
        <v>130</v>
      </c>
      <c r="D24" s="6" t="s">
        <v>5</v>
      </c>
      <c r="E24" s="6" t="s">
        <v>5</v>
      </c>
      <c r="F24" s="6" t="s">
        <v>5</v>
      </c>
      <c r="G24" s="41">
        <f>SUM(G25:G27)</f>
        <v>0</v>
      </c>
      <c r="H24" s="41">
        <f>SUM(H25:H27)</f>
        <v>0</v>
      </c>
      <c r="I24" s="41">
        <f>G24+H24</f>
        <v>0</v>
      </c>
      <c r="J24" s="29"/>
      <c r="K24" s="41">
        <f>SUM(K25:K27)</f>
        <v>0</v>
      </c>
      <c r="L24" s="29"/>
      <c r="Y24" s="29"/>
      <c r="AI24" s="41">
        <f>SUM(Z25:Z27)</f>
        <v>0</v>
      </c>
      <c r="AJ24" s="41">
        <f>SUM(AA25:AA27)</f>
        <v>0</v>
      </c>
      <c r="AK24" s="41">
        <f>SUM(AB25:AB27)</f>
        <v>0</v>
      </c>
    </row>
    <row r="25" spans="1:48" ht="12.75">
      <c r="A25" s="5" t="s">
        <v>11</v>
      </c>
      <c r="B25" s="5" t="s">
        <v>63</v>
      </c>
      <c r="C25" s="5" t="s">
        <v>131</v>
      </c>
      <c r="D25" s="5" t="s">
        <v>240</v>
      </c>
      <c r="E25" s="19">
        <v>105</v>
      </c>
      <c r="F25" s="19">
        <v>0</v>
      </c>
      <c r="G25" s="19">
        <f>E25*AE25</f>
        <v>0</v>
      </c>
      <c r="H25" s="19">
        <f>I25-G25</f>
        <v>0</v>
      </c>
      <c r="I25" s="19">
        <f>E25*F25</f>
        <v>0</v>
      </c>
      <c r="J25" s="19">
        <v>0</v>
      </c>
      <c r="K25" s="19">
        <f>E25*J25</f>
        <v>0</v>
      </c>
      <c r="L25" s="34" t="s">
        <v>262</v>
      </c>
      <c r="P25" s="38">
        <f>IF(AG25="5",I25,0)</f>
        <v>0</v>
      </c>
      <c r="R25" s="38">
        <f>IF(AG25="1",G25,0)</f>
        <v>0</v>
      </c>
      <c r="S25" s="38">
        <f>IF(AG25="1",H25,0)</f>
        <v>0</v>
      </c>
      <c r="T25" s="38">
        <f>IF(AG25="7",G25,0)</f>
        <v>0</v>
      </c>
      <c r="U25" s="38">
        <f>IF(AG25="7",H25,0)</f>
        <v>0</v>
      </c>
      <c r="V25" s="38">
        <f>IF(AG25="2",G25,0)</f>
        <v>0</v>
      </c>
      <c r="W25" s="38">
        <f>IF(AG25="2",H25,0)</f>
        <v>0</v>
      </c>
      <c r="X25" s="38">
        <f>IF(AG25="0",I25,0)</f>
        <v>0</v>
      </c>
      <c r="Y25" s="29"/>
      <c r="Z25" s="19">
        <f>IF(AD25=0,I25,0)</f>
        <v>0</v>
      </c>
      <c r="AA25" s="19">
        <f>IF(AD25=15,I25,0)</f>
        <v>0</v>
      </c>
      <c r="AB25" s="19">
        <f>IF(AD25=21,I25,0)</f>
        <v>0</v>
      </c>
      <c r="AD25" s="38">
        <v>21</v>
      </c>
      <c r="AE25" s="38">
        <f>F25*0</f>
        <v>0</v>
      </c>
      <c r="AF25" s="38">
        <f>F25*(1-0)</f>
        <v>0</v>
      </c>
      <c r="AG25" s="34" t="s">
        <v>6</v>
      </c>
      <c r="AM25" s="38">
        <f>E25*AE25</f>
        <v>0</v>
      </c>
      <c r="AN25" s="38">
        <f>E25*AF25</f>
        <v>0</v>
      </c>
      <c r="AO25" s="39" t="s">
        <v>275</v>
      </c>
      <c r="AP25" s="39" t="s">
        <v>286</v>
      </c>
      <c r="AQ25" s="29" t="s">
        <v>289</v>
      </c>
      <c r="AS25" s="38">
        <f>AM25+AN25</f>
        <v>0</v>
      </c>
      <c r="AT25" s="38">
        <f>F25/(100-AU25)*100</f>
        <v>0</v>
      </c>
      <c r="AU25" s="38">
        <v>0</v>
      </c>
      <c r="AV25" s="38">
        <f>K25</f>
        <v>0</v>
      </c>
    </row>
    <row r="26" spans="3:5" ht="12.75">
      <c r="C26" s="16" t="s">
        <v>132</v>
      </c>
      <c r="E26" s="20">
        <v>105</v>
      </c>
    </row>
    <row r="27" spans="1:48" ht="12.75">
      <c r="A27" s="5" t="s">
        <v>12</v>
      </c>
      <c r="B27" s="5" t="s">
        <v>64</v>
      </c>
      <c r="C27" s="5" t="s">
        <v>133</v>
      </c>
      <c r="D27" s="5" t="s">
        <v>240</v>
      </c>
      <c r="E27" s="19">
        <v>96.5</v>
      </c>
      <c r="F27" s="19">
        <v>0</v>
      </c>
      <c r="G27" s="19">
        <f>E27*AE27</f>
        <v>0</v>
      </c>
      <c r="H27" s="19">
        <f>I27-G27</f>
        <v>0</v>
      </c>
      <c r="I27" s="19">
        <f>E27*F27</f>
        <v>0</v>
      </c>
      <c r="J27" s="19">
        <v>0</v>
      </c>
      <c r="K27" s="19">
        <f>E27*J27</f>
        <v>0</v>
      </c>
      <c r="L27" s="34" t="s">
        <v>262</v>
      </c>
      <c r="P27" s="38">
        <f>IF(AG27="5",I27,0)</f>
        <v>0</v>
      </c>
      <c r="R27" s="38">
        <f>IF(AG27="1",G27,0)</f>
        <v>0</v>
      </c>
      <c r="S27" s="38">
        <f>IF(AG27="1",H27,0)</f>
        <v>0</v>
      </c>
      <c r="T27" s="38">
        <f>IF(AG27="7",G27,0)</f>
        <v>0</v>
      </c>
      <c r="U27" s="38">
        <f>IF(AG27="7",H27,0)</f>
        <v>0</v>
      </c>
      <c r="V27" s="38">
        <f>IF(AG27="2",G27,0)</f>
        <v>0</v>
      </c>
      <c r="W27" s="38">
        <f>IF(AG27="2",H27,0)</f>
        <v>0</v>
      </c>
      <c r="X27" s="38">
        <f>IF(AG27="0",I27,0)</f>
        <v>0</v>
      </c>
      <c r="Y27" s="29"/>
      <c r="Z27" s="19">
        <f>IF(AD27=0,I27,0)</f>
        <v>0</v>
      </c>
      <c r="AA27" s="19">
        <f>IF(AD27=15,I27,0)</f>
        <v>0</v>
      </c>
      <c r="AB27" s="19">
        <f>IF(AD27=21,I27,0)</f>
        <v>0</v>
      </c>
      <c r="AD27" s="38">
        <v>21</v>
      </c>
      <c r="AE27" s="38">
        <f>F27*0</f>
        <v>0</v>
      </c>
      <c r="AF27" s="38">
        <f>F27*(1-0)</f>
        <v>0</v>
      </c>
      <c r="AG27" s="34" t="s">
        <v>6</v>
      </c>
      <c r="AM27" s="38">
        <f>E27*AE27</f>
        <v>0</v>
      </c>
      <c r="AN27" s="38">
        <f>E27*AF27</f>
        <v>0</v>
      </c>
      <c r="AO27" s="39" t="s">
        <v>275</v>
      </c>
      <c r="AP27" s="39" t="s">
        <v>286</v>
      </c>
      <c r="AQ27" s="29" t="s">
        <v>289</v>
      </c>
      <c r="AS27" s="38">
        <f>AM27+AN27</f>
        <v>0</v>
      </c>
      <c r="AT27" s="38">
        <f>F27/(100-AU27)*100</f>
        <v>0</v>
      </c>
      <c r="AU27" s="38">
        <v>0</v>
      </c>
      <c r="AV27" s="38">
        <f>K27</f>
        <v>0</v>
      </c>
    </row>
    <row r="28" spans="3:5" ht="12.75">
      <c r="C28" s="16" t="s">
        <v>134</v>
      </c>
      <c r="E28" s="20">
        <v>96.5</v>
      </c>
    </row>
    <row r="29" spans="1:37" ht="12.75">
      <c r="A29" s="6"/>
      <c r="B29" s="14" t="s">
        <v>21</v>
      </c>
      <c r="C29" s="14" t="s">
        <v>135</v>
      </c>
      <c r="D29" s="6" t="s">
        <v>5</v>
      </c>
      <c r="E29" s="6" t="s">
        <v>5</v>
      </c>
      <c r="F29" s="6" t="s">
        <v>5</v>
      </c>
      <c r="G29" s="41">
        <f>SUM(G30:G35)</f>
        <v>0</v>
      </c>
      <c r="H29" s="41">
        <f>SUM(H30:H35)</f>
        <v>0</v>
      </c>
      <c r="I29" s="41">
        <f>G29+H29</f>
        <v>0</v>
      </c>
      <c r="J29" s="29"/>
      <c r="K29" s="41">
        <f>SUM(K30:K35)</f>
        <v>0</v>
      </c>
      <c r="L29" s="29"/>
      <c r="Y29" s="29"/>
      <c r="AI29" s="41">
        <f>SUM(Z30:Z35)</f>
        <v>0</v>
      </c>
      <c r="AJ29" s="41">
        <f>SUM(AA30:AA35)</f>
        <v>0</v>
      </c>
      <c r="AK29" s="41">
        <f>SUM(AB30:AB35)</f>
        <v>0</v>
      </c>
    </row>
    <row r="30" spans="1:48" ht="12.75">
      <c r="A30" s="5" t="s">
        <v>13</v>
      </c>
      <c r="B30" s="5" t="s">
        <v>65</v>
      </c>
      <c r="C30" s="5" t="s">
        <v>136</v>
      </c>
      <c r="D30" s="5" t="s">
        <v>240</v>
      </c>
      <c r="E30" s="19">
        <v>11.1</v>
      </c>
      <c r="F30" s="19">
        <v>0</v>
      </c>
      <c r="G30" s="19">
        <f>E30*AE30</f>
        <v>0</v>
      </c>
      <c r="H30" s="19">
        <f>I30-G30</f>
        <v>0</v>
      </c>
      <c r="I30" s="19">
        <f>E30*F30</f>
        <v>0</v>
      </c>
      <c r="J30" s="19">
        <v>0</v>
      </c>
      <c r="K30" s="19">
        <f>E30*J30</f>
        <v>0</v>
      </c>
      <c r="L30" s="34" t="s">
        <v>262</v>
      </c>
      <c r="P30" s="38">
        <f>IF(AG30="5",I30,0)</f>
        <v>0</v>
      </c>
      <c r="R30" s="38">
        <f>IF(AG30="1",G30,0)</f>
        <v>0</v>
      </c>
      <c r="S30" s="38">
        <f>IF(AG30="1",H30,0)</f>
        <v>0</v>
      </c>
      <c r="T30" s="38">
        <f>IF(AG30="7",G30,0)</f>
        <v>0</v>
      </c>
      <c r="U30" s="38">
        <f>IF(AG30="7",H30,0)</f>
        <v>0</v>
      </c>
      <c r="V30" s="38">
        <f>IF(AG30="2",G30,0)</f>
        <v>0</v>
      </c>
      <c r="W30" s="38">
        <f>IF(AG30="2",H30,0)</f>
        <v>0</v>
      </c>
      <c r="X30" s="38">
        <f>IF(AG30="0",I30,0)</f>
        <v>0</v>
      </c>
      <c r="Y30" s="29"/>
      <c r="Z30" s="19">
        <f>IF(AD30=0,I30,0)</f>
        <v>0</v>
      </c>
      <c r="AA30" s="19">
        <f>IF(AD30=15,I30,0)</f>
        <v>0</v>
      </c>
      <c r="AB30" s="19">
        <f>IF(AD30=21,I30,0)</f>
        <v>0</v>
      </c>
      <c r="AD30" s="38">
        <v>21</v>
      </c>
      <c r="AE30" s="38">
        <f>F30*0</f>
        <v>0</v>
      </c>
      <c r="AF30" s="38">
        <f>F30*(1-0)</f>
        <v>0</v>
      </c>
      <c r="AG30" s="34" t="s">
        <v>6</v>
      </c>
      <c r="AM30" s="38">
        <f>E30*AE30</f>
        <v>0</v>
      </c>
      <c r="AN30" s="38">
        <f>E30*AF30</f>
        <v>0</v>
      </c>
      <c r="AO30" s="39" t="s">
        <v>276</v>
      </c>
      <c r="AP30" s="39" t="s">
        <v>286</v>
      </c>
      <c r="AQ30" s="29" t="s">
        <v>289</v>
      </c>
      <c r="AS30" s="38">
        <f>AM30+AN30</f>
        <v>0</v>
      </c>
      <c r="AT30" s="38">
        <f>F30/(100-AU30)*100</f>
        <v>0</v>
      </c>
      <c r="AU30" s="38">
        <v>0</v>
      </c>
      <c r="AV30" s="38">
        <f>K30</f>
        <v>0</v>
      </c>
    </row>
    <row r="31" spans="3:5" ht="12.75">
      <c r="C31" s="16" t="s">
        <v>137</v>
      </c>
      <c r="E31" s="20">
        <v>11.1</v>
      </c>
    </row>
    <row r="32" spans="1:48" ht="12.75">
      <c r="A32" s="5" t="s">
        <v>14</v>
      </c>
      <c r="B32" s="5" t="s">
        <v>66</v>
      </c>
      <c r="C32" s="5" t="s">
        <v>138</v>
      </c>
      <c r="D32" s="5" t="s">
        <v>240</v>
      </c>
      <c r="E32" s="19">
        <v>84</v>
      </c>
      <c r="F32" s="19">
        <v>0</v>
      </c>
      <c r="G32" s="19">
        <f>E32*AE32</f>
        <v>0</v>
      </c>
      <c r="H32" s="19">
        <f>I32-G32</f>
        <v>0</v>
      </c>
      <c r="I32" s="19">
        <f>E32*F32</f>
        <v>0</v>
      </c>
      <c r="J32" s="19">
        <v>0</v>
      </c>
      <c r="K32" s="19">
        <f>E32*J32</f>
        <v>0</v>
      </c>
      <c r="L32" s="34" t="s">
        <v>262</v>
      </c>
      <c r="P32" s="38">
        <f>IF(AG32="5",I32,0)</f>
        <v>0</v>
      </c>
      <c r="R32" s="38">
        <f>IF(AG32="1",G32,0)</f>
        <v>0</v>
      </c>
      <c r="S32" s="38">
        <f>IF(AG32="1",H32,0)</f>
        <v>0</v>
      </c>
      <c r="T32" s="38">
        <f>IF(AG32="7",G32,0)</f>
        <v>0</v>
      </c>
      <c r="U32" s="38">
        <f>IF(AG32="7",H32,0)</f>
        <v>0</v>
      </c>
      <c r="V32" s="38">
        <f>IF(AG32="2",G32,0)</f>
        <v>0</v>
      </c>
      <c r="W32" s="38">
        <f>IF(AG32="2",H32,0)</f>
        <v>0</v>
      </c>
      <c r="X32" s="38">
        <f>IF(AG32="0",I32,0)</f>
        <v>0</v>
      </c>
      <c r="Y32" s="29"/>
      <c r="Z32" s="19">
        <f>IF(AD32=0,I32,0)</f>
        <v>0</v>
      </c>
      <c r="AA32" s="19">
        <f>IF(AD32=15,I32,0)</f>
        <v>0</v>
      </c>
      <c r="AB32" s="19">
        <f>IF(AD32=21,I32,0)</f>
        <v>0</v>
      </c>
      <c r="AD32" s="38">
        <v>21</v>
      </c>
      <c r="AE32" s="38">
        <f>F32*0</f>
        <v>0</v>
      </c>
      <c r="AF32" s="38">
        <f>F32*(1-0)</f>
        <v>0</v>
      </c>
      <c r="AG32" s="34" t="s">
        <v>6</v>
      </c>
      <c r="AM32" s="38">
        <f>E32*AE32</f>
        <v>0</v>
      </c>
      <c r="AN32" s="38">
        <f>E32*AF32</f>
        <v>0</v>
      </c>
      <c r="AO32" s="39" t="s">
        <v>276</v>
      </c>
      <c r="AP32" s="39" t="s">
        <v>286</v>
      </c>
      <c r="AQ32" s="29" t="s">
        <v>289</v>
      </c>
      <c r="AS32" s="38">
        <f>AM32+AN32</f>
        <v>0</v>
      </c>
      <c r="AT32" s="38">
        <f>F32/(100-AU32)*100</f>
        <v>0</v>
      </c>
      <c r="AU32" s="38">
        <v>0</v>
      </c>
      <c r="AV32" s="38">
        <f>K32</f>
        <v>0</v>
      </c>
    </row>
    <row r="33" spans="3:5" ht="12.75">
      <c r="C33" s="16" t="s">
        <v>139</v>
      </c>
      <c r="E33" s="20">
        <v>105</v>
      </c>
    </row>
    <row r="34" spans="3:5" ht="12.75">
      <c r="C34" s="16" t="s">
        <v>140</v>
      </c>
      <c r="E34" s="20">
        <v>-21</v>
      </c>
    </row>
    <row r="35" spans="1:48" ht="12.75">
      <c r="A35" s="5" t="s">
        <v>15</v>
      </c>
      <c r="B35" s="5" t="s">
        <v>67</v>
      </c>
      <c r="C35" s="5" t="s">
        <v>141</v>
      </c>
      <c r="D35" s="5" t="s">
        <v>240</v>
      </c>
      <c r="E35" s="19">
        <v>11.1</v>
      </c>
      <c r="F35" s="19">
        <v>0</v>
      </c>
      <c r="G35" s="19">
        <f>E35*AE35</f>
        <v>0</v>
      </c>
      <c r="H35" s="19">
        <f>I35-G35</f>
        <v>0</v>
      </c>
      <c r="I35" s="19">
        <f>E35*F35</f>
        <v>0</v>
      </c>
      <c r="J35" s="19">
        <v>0</v>
      </c>
      <c r="K35" s="19">
        <f>E35*J35</f>
        <v>0</v>
      </c>
      <c r="L35" s="34" t="s">
        <v>262</v>
      </c>
      <c r="P35" s="38">
        <f>IF(AG35="5",I35,0)</f>
        <v>0</v>
      </c>
      <c r="R35" s="38">
        <f>IF(AG35="1",G35,0)</f>
        <v>0</v>
      </c>
      <c r="S35" s="38">
        <f>IF(AG35="1",H35,0)</f>
        <v>0</v>
      </c>
      <c r="T35" s="38">
        <f>IF(AG35="7",G35,0)</f>
        <v>0</v>
      </c>
      <c r="U35" s="38">
        <f>IF(AG35="7",H35,0)</f>
        <v>0</v>
      </c>
      <c r="V35" s="38">
        <f>IF(AG35="2",G35,0)</f>
        <v>0</v>
      </c>
      <c r="W35" s="38">
        <f>IF(AG35="2",H35,0)</f>
        <v>0</v>
      </c>
      <c r="X35" s="38">
        <f>IF(AG35="0",I35,0)</f>
        <v>0</v>
      </c>
      <c r="Y35" s="29"/>
      <c r="Z35" s="19">
        <f>IF(AD35=0,I35,0)</f>
        <v>0</v>
      </c>
      <c r="AA35" s="19">
        <f>IF(AD35=15,I35,0)</f>
        <v>0</v>
      </c>
      <c r="AB35" s="19">
        <f>IF(AD35=21,I35,0)</f>
        <v>0</v>
      </c>
      <c r="AD35" s="38">
        <v>21</v>
      </c>
      <c r="AE35" s="38">
        <f>F35*0</f>
        <v>0</v>
      </c>
      <c r="AF35" s="38">
        <f>F35*(1-0)</f>
        <v>0</v>
      </c>
      <c r="AG35" s="34" t="s">
        <v>6</v>
      </c>
      <c r="AM35" s="38">
        <f>E35*AE35</f>
        <v>0</v>
      </c>
      <c r="AN35" s="38">
        <f>E35*AF35</f>
        <v>0</v>
      </c>
      <c r="AO35" s="39" t="s">
        <v>276</v>
      </c>
      <c r="AP35" s="39" t="s">
        <v>286</v>
      </c>
      <c r="AQ35" s="29" t="s">
        <v>289</v>
      </c>
      <c r="AS35" s="38">
        <f>AM35+AN35</f>
        <v>0</v>
      </c>
      <c r="AT35" s="38">
        <f>F35/(100-AU35)*100</f>
        <v>0</v>
      </c>
      <c r="AU35" s="38">
        <v>0</v>
      </c>
      <c r="AV35" s="38">
        <f>K35</f>
        <v>0</v>
      </c>
    </row>
    <row r="36" spans="3:5" ht="12.75">
      <c r="C36" s="16" t="s">
        <v>142</v>
      </c>
      <c r="E36" s="20">
        <v>11.1</v>
      </c>
    </row>
    <row r="37" spans="1:37" ht="12.75">
      <c r="A37" s="6"/>
      <c r="B37" s="14" t="s">
        <v>22</v>
      </c>
      <c r="C37" s="14" t="s">
        <v>143</v>
      </c>
      <c r="D37" s="6" t="s">
        <v>5</v>
      </c>
      <c r="E37" s="6" t="s">
        <v>5</v>
      </c>
      <c r="F37" s="6" t="s">
        <v>5</v>
      </c>
      <c r="G37" s="41">
        <f>SUM(G38:G38)</f>
        <v>0</v>
      </c>
      <c r="H37" s="41">
        <f>SUM(H38:H38)</f>
        <v>0</v>
      </c>
      <c r="I37" s="41">
        <f>G37+H37</f>
        <v>0</v>
      </c>
      <c r="J37" s="29"/>
      <c r="K37" s="41">
        <f>SUM(K38:K38)</f>
        <v>0</v>
      </c>
      <c r="L37" s="29"/>
      <c r="Y37" s="29"/>
      <c r="AI37" s="41">
        <f>SUM(Z38:Z38)</f>
        <v>0</v>
      </c>
      <c r="AJ37" s="41">
        <f>SUM(AA38:AA38)</f>
        <v>0</v>
      </c>
      <c r="AK37" s="41">
        <f>SUM(AB38:AB38)</f>
        <v>0</v>
      </c>
    </row>
    <row r="38" spans="1:48" ht="12.75">
      <c r="A38" s="5" t="s">
        <v>16</v>
      </c>
      <c r="B38" s="5" t="s">
        <v>68</v>
      </c>
      <c r="C38" s="5" t="s">
        <v>144</v>
      </c>
      <c r="D38" s="5" t="s">
        <v>240</v>
      </c>
      <c r="E38" s="19">
        <v>21</v>
      </c>
      <c r="F38" s="19">
        <v>0</v>
      </c>
      <c r="G38" s="19">
        <f>E38*AE38</f>
        <v>0</v>
      </c>
      <c r="H38" s="19">
        <f>I38-G38</f>
        <v>0</v>
      </c>
      <c r="I38" s="19">
        <f>E38*F38</f>
        <v>0</v>
      </c>
      <c r="J38" s="19">
        <v>0</v>
      </c>
      <c r="K38" s="19">
        <f>E38*J38</f>
        <v>0</v>
      </c>
      <c r="L38" s="34" t="s">
        <v>262</v>
      </c>
      <c r="P38" s="38">
        <f>IF(AG38="5",I38,0)</f>
        <v>0</v>
      </c>
      <c r="R38" s="38">
        <f>IF(AG38="1",G38,0)</f>
        <v>0</v>
      </c>
      <c r="S38" s="38">
        <f>IF(AG38="1",H38,0)</f>
        <v>0</v>
      </c>
      <c r="T38" s="38">
        <f>IF(AG38="7",G38,0)</f>
        <v>0</v>
      </c>
      <c r="U38" s="38">
        <f>IF(AG38="7",H38,0)</f>
        <v>0</v>
      </c>
      <c r="V38" s="38">
        <f>IF(AG38="2",G38,0)</f>
        <v>0</v>
      </c>
      <c r="W38" s="38">
        <f>IF(AG38="2",H38,0)</f>
        <v>0</v>
      </c>
      <c r="X38" s="38">
        <f>IF(AG38="0",I38,0)</f>
        <v>0</v>
      </c>
      <c r="Y38" s="29"/>
      <c r="Z38" s="19">
        <f>IF(AD38=0,I38,0)</f>
        <v>0</v>
      </c>
      <c r="AA38" s="19">
        <f>IF(AD38=15,I38,0)</f>
        <v>0</v>
      </c>
      <c r="AB38" s="19">
        <f>IF(AD38=21,I38,0)</f>
        <v>0</v>
      </c>
      <c r="AD38" s="38">
        <v>21</v>
      </c>
      <c r="AE38" s="38">
        <f>F38*0</f>
        <v>0</v>
      </c>
      <c r="AF38" s="38">
        <f>F38*(1-0)</f>
        <v>0</v>
      </c>
      <c r="AG38" s="34" t="s">
        <v>6</v>
      </c>
      <c r="AM38" s="38">
        <f>E38*AE38</f>
        <v>0</v>
      </c>
      <c r="AN38" s="38">
        <f>E38*AF38</f>
        <v>0</v>
      </c>
      <c r="AO38" s="39" t="s">
        <v>277</v>
      </c>
      <c r="AP38" s="39" t="s">
        <v>286</v>
      </c>
      <c r="AQ38" s="29" t="s">
        <v>289</v>
      </c>
      <c r="AS38" s="38">
        <f>AM38+AN38</f>
        <v>0</v>
      </c>
      <c r="AT38" s="38">
        <f>F38/(100-AU38)*100</f>
        <v>0</v>
      </c>
      <c r="AU38" s="38">
        <v>0</v>
      </c>
      <c r="AV38" s="38">
        <f>K38</f>
        <v>0</v>
      </c>
    </row>
    <row r="39" spans="3:5" ht="12.75">
      <c r="C39" s="16" t="s">
        <v>145</v>
      </c>
      <c r="E39" s="20">
        <v>21</v>
      </c>
    </row>
    <row r="40" spans="1:37" ht="12.75">
      <c r="A40" s="6"/>
      <c r="B40" s="14" t="s">
        <v>23</v>
      </c>
      <c r="C40" s="14" t="s">
        <v>146</v>
      </c>
      <c r="D40" s="6" t="s">
        <v>5</v>
      </c>
      <c r="E40" s="6" t="s">
        <v>5</v>
      </c>
      <c r="F40" s="6" t="s">
        <v>5</v>
      </c>
      <c r="G40" s="41">
        <f>SUM(G41:G45)</f>
        <v>0</v>
      </c>
      <c r="H40" s="41">
        <f>SUM(H41:H45)</f>
        <v>0</v>
      </c>
      <c r="I40" s="41">
        <f>G40+H40</f>
        <v>0</v>
      </c>
      <c r="J40" s="29"/>
      <c r="K40" s="41">
        <f>SUM(K41:K45)</f>
        <v>0.03726</v>
      </c>
      <c r="L40" s="29"/>
      <c r="Y40" s="29"/>
      <c r="AI40" s="41">
        <f>SUM(Z41:Z45)</f>
        <v>0</v>
      </c>
      <c r="AJ40" s="41">
        <f>SUM(AA41:AA45)</f>
        <v>0</v>
      </c>
      <c r="AK40" s="41">
        <f>SUM(AB41:AB45)</f>
        <v>0</v>
      </c>
    </row>
    <row r="41" spans="1:48" ht="12.75">
      <c r="A41" s="5" t="s">
        <v>17</v>
      </c>
      <c r="B41" s="5" t="s">
        <v>69</v>
      </c>
      <c r="C41" s="5" t="s">
        <v>147</v>
      </c>
      <c r="D41" s="5" t="s">
        <v>238</v>
      </c>
      <c r="E41" s="19">
        <v>69</v>
      </c>
      <c r="F41" s="19">
        <v>0</v>
      </c>
      <c r="G41" s="19">
        <f>E41*AE41</f>
        <v>0</v>
      </c>
      <c r="H41" s="19">
        <f>I41-G41</f>
        <v>0</v>
      </c>
      <c r="I41" s="19">
        <f>E41*F41</f>
        <v>0</v>
      </c>
      <c r="J41" s="19">
        <v>0</v>
      </c>
      <c r="K41" s="19">
        <f>E41*J41</f>
        <v>0</v>
      </c>
      <c r="L41" s="34" t="s">
        <v>262</v>
      </c>
      <c r="P41" s="38">
        <f>IF(AG41="5",I41,0)</f>
        <v>0</v>
      </c>
      <c r="R41" s="38">
        <f>IF(AG41="1",G41,0)</f>
        <v>0</v>
      </c>
      <c r="S41" s="38">
        <f>IF(AG41="1",H41,0)</f>
        <v>0</v>
      </c>
      <c r="T41" s="38">
        <f>IF(AG41="7",G41,0)</f>
        <v>0</v>
      </c>
      <c r="U41" s="38">
        <f>IF(AG41="7",H41,0)</f>
        <v>0</v>
      </c>
      <c r="V41" s="38">
        <f>IF(AG41="2",G41,0)</f>
        <v>0</v>
      </c>
      <c r="W41" s="38">
        <f>IF(AG41="2",H41,0)</f>
        <v>0</v>
      </c>
      <c r="X41" s="38">
        <f>IF(AG41="0",I41,0)</f>
        <v>0</v>
      </c>
      <c r="Y41" s="29"/>
      <c r="Z41" s="19">
        <f>IF(AD41=0,I41,0)</f>
        <v>0</v>
      </c>
      <c r="AA41" s="19">
        <f>IF(AD41=15,I41,0)</f>
        <v>0</v>
      </c>
      <c r="AB41" s="19">
        <f>IF(AD41=21,I41,0)</f>
        <v>0</v>
      </c>
      <c r="AD41" s="38">
        <v>21</v>
      </c>
      <c r="AE41" s="38">
        <f>F41*0</f>
        <v>0</v>
      </c>
      <c r="AF41" s="38">
        <f>F41*(1-0)</f>
        <v>0</v>
      </c>
      <c r="AG41" s="34" t="s">
        <v>6</v>
      </c>
      <c r="AM41" s="38">
        <f>E41*AE41</f>
        <v>0</v>
      </c>
      <c r="AN41" s="38">
        <f>E41*AF41</f>
        <v>0</v>
      </c>
      <c r="AO41" s="39" t="s">
        <v>278</v>
      </c>
      <c r="AP41" s="39" t="s">
        <v>286</v>
      </c>
      <c r="AQ41" s="29" t="s">
        <v>289</v>
      </c>
      <c r="AS41" s="38">
        <f>AM41+AN41</f>
        <v>0</v>
      </c>
      <c r="AT41" s="38">
        <f>F41/(100-AU41)*100</f>
        <v>0</v>
      </c>
      <c r="AU41" s="38">
        <v>0</v>
      </c>
      <c r="AV41" s="38">
        <f>K41</f>
        <v>0</v>
      </c>
    </row>
    <row r="42" spans="3:5" ht="12.75">
      <c r="C42" s="16" t="s">
        <v>148</v>
      </c>
      <c r="E42" s="20">
        <v>69</v>
      </c>
    </row>
    <row r="43" spans="1:48" ht="12.75">
      <c r="A43" s="5" t="s">
        <v>18</v>
      </c>
      <c r="B43" s="5" t="s">
        <v>70</v>
      </c>
      <c r="C43" s="5" t="s">
        <v>149</v>
      </c>
      <c r="D43" s="5" t="s">
        <v>238</v>
      </c>
      <c r="E43" s="19">
        <v>311</v>
      </c>
      <c r="F43" s="19">
        <v>0</v>
      </c>
      <c r="G43" s="19">
        <f>E43*AE43</f>
        <v>0</v>
      </c>
      <c r="H43" s="19">
        <f>I43-G43</f>
        <v>0</v>
      </c>
      <c r="I43" s="19">
        <f>E43*F43</f>
        <v>0</v>
      </c>
      <c r="J43" s="19">
        <v>0</v>
      </c>
      <c r="K43" s="19">
        <f>E43*J43</f>
        <v>0</v>
      </c>
      <c r="L43" s="34" t="s">
        <v>262</v>
      </c>
      <c r="P43" s="38">
        <f>IF(AG43="5",I43,0)</f>
        <v>0</v>
      </c>
      <c r="R43" s="38">
        <f>IF(AG43="1",G43,0)</f>
        <v>0</v>
      </c>
      <c r="S43" s="38">
        <f>IF(AG43="1",H43,0)</f>
        <v>0</v>
      </c>
      <c r="T43" s="38">
        <f>IF(AG43="7",G43,0)</f>
        <v>0</v>
      </c>
      <c r="U43" s="38">
        <f>IF(AG43="7",H43,0)</f>
        <v>0</v>
      </c>
      <c r="V43" s="38">
        <f>IF(AG43="2",G43,0)</f>
        <v>0</v>
      </c>
      <c r="W43" s="38">
        <f>IF(AG43="2",H43,0)</f>
        <v>0</v>
      </c>
      <c r="X43" s="38">
        <f>IF(AG43="0",I43,0)</f>
        <v>0</v>
      </c>
      <c r="Y43" s="29"/>
      <c r="Z43" s="19">
        <f>IF(AD43=0,I43,0)</f>
        <v>0</v>
      </c>
      <c r="AA43" s="19">
        <f>IF(AD43=15,I43,0)</f>
        <v>0</v>
      </c>
      <c r="AB43" s="19">
        <f>IF(AD43=21,I43,0)</f>
        <v>0</v>
      </c>
      <c r="AD43" s="38">
        <v>21</v>
      </c>
      <c r="AE43" s="38">
        <f>F43*0</f>
        <v>0</v>
      </c>
      <c r="AF43" s="38">
        <f>F43*(1-0)</f>
        <v>0</v>
      </c>
      <c r="AG43" s="34" t="s">
        <v>6</v>
      </c>
      <c r="AM43" s="38">
        <f>E43*AE43</f>
        <v>0</v>
      </c>
      <c r="AN43" s="38">
        <f>E43*AF43</f>
        <v>0</v>
      </c>
      <c r="AO43" s="39" t="s">
        <v>278</v>
      </c>
      <c r="AP43" s="39" t="s">
        <v>286</v>
      </c>
      <c r="AQ43" s="29" t="s">
        <v>289</v>
      </c>
      <c r="AS43" s="38">
        <f>AM43+AN43</f>
        <v>0</v>
      </c>
      <c r="AT43" s="38">
        <f>F43/(100-AU43)*100</f>
        <v>0</v>
      </c>
      <c r="AU43" s="38">
        <v>0</v>
      </c>
      <c r="AV43" s="38">
        <f>K43</f>
        <v>0</v>
      </c>
    </row>
    <row r="44" spans="1:48" ht="12.75">
      <c r="A44" s="5" t="s">
        <v>19</v>
      </c>
      <c r="B44" s="5" t="s">
        <v>71</v>
      </c>
      <c r="C44" s="5" t="s">
        <v>150</v>
      </c>
      <c r="D44" s="5" t="s">
        <v>238</v>
      </c>
      <c r="E44" s="19">
        <v>69</v>
      </c>
      <c r="F44" s="19">
        <v>0</v>
      </c>
      <c r="G44" s="19">
        <f>E44*AE44</f>
        <v>0</v>
      </c>
      <c r="H44" s="19">
        <f>I44-G44</f>
        <v>0</v>
      </c>
      <c r="I44" s="19">
        <f>E44*F44</f>
        <v>0</v>
      </c>
      <c r="J44" s="19">
        <v>0</v>
      </c>
      <c r="K44" s="19">
        <f>E44*J44</f>
        <v>0</v>
      </c>
      <c r="L44" s="34" t="s">
        <v>262</v>
      </c>
      <c r="P44" s="38">
        <f>IF(AG44="5",I44,0)</f>
        <v>0</v>
      </c>
      <c r="R44" s="38">
        <f>IF(AG44="1",G44,0)</f>
        <v>0</v>
      </c>
      <c r="S44" s="38">
        <f>IF(AG44="1",H44,0)</f>
        <v>0</v>
      </c>
      <c r="T44" s="38">
        <f>IF(AG44="7",G44,0)</f>
        <v>0</v>
      </c>
      <c r="U44" s="38">
        <f>IF(AG44="7",H44,0)</f>
        <v>0</v>
      </c>
      <c r="V44" s="38">
        <f>IF(AG44="2",G44,0)</f>
        <v>0</v>
      </c>
      <c r="W44" s="38">
        <f>IF(AG44="2",H44,0)</f>
        <v>0</v>
      </c>
      <c r="X44" s="38">
        <f>IF(AG44="0",I44,0)</f>
        <v>0</v>
      </c>
      <c r="Y44" s="29"/>
      <c r="Z44" s="19">
        <f>IF(AD44=0,I44,0)</f>
        <v>0</v>
      </c>
      <c r="AA44" s="19">
        <f>IF(AD44=15,I44,0)</f>
        <v>0</v>
      </c>
      <c r="AB44" s="19">
        <f>IF(AD44=21,I44,0)</f>
        <v>0</v>
      </c>
      <c r="AD44" s="38">
        <v>21</v>
      </c>
      <c r="AE44" s="38">
        <f>F44*0</f>
        <v>0</v>
      </c>
      <c r="AF44" s="38">
        <f>F44*(1-0)</f>
        <v>0</v>
      </c>
      <c r="AG44" s="34" t="s">
        <v>6</v>
      </c>
      <c r="AM44" s="38">
        <f>E44*AE44</f>
        <v>0</v>
      </c>
      <c r="AN44" s="38">
        <f>E44*AF44</f>
        <v>0</v>
      </c>
      <c r="AO44" s="39" t="s">
        <v>278</v>
      </c>
      <c r="AP44" s="39" t="s">
        <v>286</v>
      </c>
      <c r="AQ44" s="29" t="s">
        <v>289</v>
      </c>
      <c r="AS44" s="38">
        <f>AM44+AN44</f>
        <v>0</v>
      </c>
      <c r="AT44" s="38">
        <f>F44/(100-AU44)*100</f>
        <v>0</v>
      </c>
      <c r="AU44" s="38">
        <v>0</v>
      </c>
      <c r="AV44" s="38">
        <f>K44</f>
        <v>0</v>
      </c>
    </row>
    <row r="45" spans="1:48" ht="12.75">
      <c r="A45" s="5" t="s">
        <v>20</v>
      </c>
      <c r="B45" s="5" t="s">
        <v>72</v>
      </c>
      <c r="C45" s="5" t="s">
        <v>151</v>
      </c>
      <c r="D45" s="5" t="s">
        <v>238</v>
      </c>
      <c r="E45" s="19">
        <v>69</v>
      </c>
      <c r="F45" s="19">
        <v>0</v>
      </c>
      <c r="G45" s="19">
        <f>E45*AE45</f>
        <v>0</v>
      </c>
      <c r="H45" s="19">
        <f>I45-G45</f>
        <v>0</v>
      </c>
      <c r="I45" s="19">
        <f>E45*F45</f>
        <v>0</v>
      </c>
      <c r="J45" s="19">
        <v>0.00054</v>
      </c>
      <c r="K45" s="19">
        <f>E45*J45</f>
        <v>0.03726</v>
      </c>
      <c r="L45" s="34" t="s">
        <v>262</v>
      </c>
      <c r="P45" s="38">
        <f>IF(AG45="5",I45,0)</f>
        <v>0</v>
      </c>
      <c r="R45" s="38">
        <f>IF(AG45="1",G45,0)</f>
        <v>0</v>
      </c>
      <c r="S45" s="38">
        <f>IF(AG45="1",H45,0)</f>
        <v>0</v>
      </c>
      <c r="T45" s="38">
        <f>IF(AG45="7",G45,0)</f>
        <v>0</v>
      </c>
      <c r="U45" s="38">
        <f>IF(AG45="7",H45,0)</f>
        <v>0</v>
      </c>
      <c r="V45" s="38">
        <f>IF(AG45="2",G45,0)</f>
        <v>0</v>
      </c>
      <c r="W45" s="38">
        <f>IF(AG45="2",H45,0)</f>
        <v>0</v>
      </c>
      <c r="X45" s="38">
        <f>IF(AG45="0",I45,0)</f>
        <v>0</v>
      </c>
      <c r="Y45" s="29"/>
      <c r="Z45" s="19">
        <f>IF(AD45=0,I45,0)</f>
        <v>0</v>
      </c>
      <c r="AA45" s="19">
        <f>IF(AD45=15,I45,0)</f>
        <v>0</v>
      </c>
      <c r="AB45" s="19">
        <f>IF(AD45=21,I45,0)</f>
        <v>0</v>
      </c>
      <c r="AD45" s="38">
        <v>21</v>
      </c>
      <c r="AE45" s="38">
        <f>F45*0.162380952380952</f>
        <v>0</v>
      </c>
      <c r="AF45" s="38">
        <f>F45*(1-0.162380952380952)</f>
        <v>0</v>
      </c>
      <c r="AG45" s="34" t="s">
        <v>6</v>
      </c>
      <c r="AM45" s="38">
        <f>E45*AE45</f>
        <v>0</v>
      </c>
      <c r="AN45" s="38">
        <f>E45*AF45</f>
        <v>0</v>
      </c>
      <c r="AO45" s="39" t="s">
        <v>278</v>
      </c>
      <c r="AP45" s="39" t="s">
        <v>286</v>
      </c>
      <c r="AQ45" s="29" t="s">
        <v>289</v>
      </c>
      <c r="AS45" s="38">
        <f>AM45+AN45</f>
        <v>0</v>
      </c>
      <c r="AT45" s="38">
        <f>F45/(100-AU45)*100</f>
        <v>0</v>
      </c>
      <c r="AU45" s="38">
        <v>0</v>
      </c>
      <c r="AV45" s="38">
        <f>K45</f>
        <v>0.03726</v>
      </c>
    </row>
    <row r="46" spans="1:37" ht="12.75">
      <c r="A46" s="6"/>
      <c r="B46" s="14" t="s">
        <v>24</v>
      </c>
      <c r="C46" s="14" t="s">
        <v>152</v>
      </c>
      <c r="D46" s="6" t="s">
        <v>5</v>
      </c>
      <c r="E46" s="6" t="s">
        <v>5</v>
      </c>
      <c r="F46" s="6" t="s">
        <v>5</v>
      </c>
      <c r="G46" s="41">
        <f>SUM(G47:G47)</f>
        <v>0</v>
      </c>
      <c r="H46" s="41">
        <f>SUM(H47:H47)</f>
        <v>0</v>
      </c>
      <c r="I46" s="41">
        <f>G46+H46</f>
        <v>0</v>
      </c>
      <c r="J46" s="29"/>
      <c r="K46" s="41">
        <f>SUM(K47:K47)</f>
        <v>0</v>
      </c>
      <c r="L46" s="29"/>
      <c r="Y46" s="29"/>
      <c r="AI46" s="41">
        <f>SUM(Z47:Z47)</f>
        <v>0</v>
      </c>
      <c r="AJ46" s="41">
        <f>SUM(AA47:AA47)</f>
        <v>0</v>
      </c>
      <c r="AK46" s="41">
        <f>SUM(AB47:AB47)</f>
        <v>0</v>
      </c>
    </row>
    <row r="47" spans="1:48" ht="12.75">
      <c r="A47" s="5" t="s">
        <v>21</v>
      </c>
      <c r="B47" s="5" t="s">
        <v>73</v>
      </c>
      <c r="C47" s="5" t="s">
        <v>153</v>
      </c>
      <c r="D47" s="5" t="s">
        <v>240</v>
      </c>
      <c r="E47" s="19">
        <v>84</v>
      </c>
      <c r="F47" s="19">
        <v>0</v>
      </c>
      <c r="G47" s="19">
        <f>E47*AE47</f>
        <v>0</v>
      </c>
      <c r="H47" s="19">
        <f>I47-G47</f>
        <v>0</v>
      </c>
      <c r="I47" s="19">
        <f>E47*F47</f>
        <v>0</v>
      </c>
      <c r="J47" s="19">
        <v>0</v>
      </c>
      <c r="K47" s="19">
        <f>E47*J47</f>
        <v>0</v>
      </c>
      <c r="L47" s="34" t="s">
        <v>262</v>
      </c>
      <c r="P47" s="38">
        <f>IF(AG47="5",I47,0)</f>
        <v>0</v>
      </c>
      <c r="R47" s="38">
        <f>IF(AG47="1",G47,0)</f>
        <v>0</v>
      </c>
      <c r="S47" s="38">
        <f>IF(AG47="1",H47,0)</f>
        <v>0</v>
      </c>
      <c r="T47" s="38">
        <f>IF(AG47="7",G47,0)</f>
        <v>0</v>
      </c>
      <c r="U47" s="38">
        <f>IF(AG47="7",H47,0)</f>
        <v>0</v>
      </c>
      <c r="V47" s="38">
        <f>IF(AG47="2",G47,0)</f>
        <v>0</v>
      </c>
      <c r="W47" s="38">
        <f>IF(AG47="2",H47,0)</f>
        <v>0</v>
      </c>
      <c r="X47" s="38">
        <f>IF(AG47="0",I47,0)</f>
        <v>0</v>
      </c>
      <c r="Y47" s="29"/>
      <c r="Z47" s="19">
        <f>IF(AD47=0,I47,0)</f>
        <v>0</v>
      </c>
      <c r="AA47" s="19">
        <f>IF(AD47=15,I47,0)</f>
        <v>0</v>
      </c>
      <c r="AB47" s="19">
        <f>IF(AD47=21,I47,0)</f>
        <v>0</v>
      </c>
      <c r="AD47" s="38">
        <v>21</v>
      </c>
      <c r="AE47" s="38">
        <f>F47*0</f>
        <v>0</v>
      </c>
      <c r="AF47" s="38">
        <f>F47*(1-0)</f>
        <v>0</v>
      </c>
      <c r="AG47" s="34" t="s">
        <v>6</v>
      </c>
      <c r="AM47" s="38">
        <f>E47*AE47</f>
        <v>0</v>
      </c>
      <c r="AN47" s="38">
        <f>E47*AF47</f>
        <v>0</v>
      </c>
      <c r="AO47" s="39" t="s">
        <v>279</v>
      </c>
      <c r="AP47" s="39" t="s">
        <v>286</v>
      </c>
      <c r="AQ47" s="29" t="s">
        <v>289</v>
      </c>
      <c r="AS47" s="38">
        <f>AM47+AN47</f>
        <v>0</v>
      </c>
      <c r="AT47" s="38">
        <f>F47/(100-AU47)*100</f>
        <v>0</v>
      </c>
      <c r="AU47" s="38">
        <v>0</v>
      </c>
      <c r="AV47" s="38">
        <f>K47</f>
        <v>0</v>
      </c>
    </row>
    <row r="48" spans="1:37" ht="12.75">
      <c r="A48" s="6"/>
      <c r="B48" s="14" t="s">
        <v>74</v>
      </c>
      <c r="C48" s="14" t="s">
        <v>154</v>
      </c>
      <c r="D48" s="6" t="s">
        <v>5</v>
      </c>
      <c r="E48" s="6" t="s">
        <v>5</v>
      </c>
      <c r="F48" s="6" t="s">
        <v>5</v>
      </c>
      <c r="G48" s="41">
        <f>SUM(G49:G57)</f>
        <v>0</v>
      </c>
      <c r="H48" s="41">
        <f>SUM(H49:H57)</f>
        <v>0</v>
      </c>
      <c r="I48" s="41">
        <f>G48+H48</f>
        <v>0</v>
      </c>
      <c r="J48" s="29"/>
      <c r="K48" s="41">
        <f>SUM(K49:K57)</f>
        <v>213.76690999999997</v>
      </c>
      <c r="L48" s="29"/>
      <c r="Y48" s="29"/>
      <c r="AI48" s="41">
        <f>SUM(Z49:Z57)</f>
        <v>0</v>
      </c>
      <c r="AJ48" s="41">
        <f>SUM(AA49:AA57)</f>
        <v>0</v>
      </c>
      <c r="AK48" s="41">
        <f>SUM(AB49:AB57)</f>
        <v>0</v>
      </c>
    </row>
    <row r="49" spans="1:48" ht="12.75">
      <c r="A49" s="5" t="s">
        <v>22</v>
      </c>
      <c r="B49" s="5" t="s">
        <v>75</v>
      </c>
      <c r="C49" s="5" t="s">
        <v>155</v>
      </c>
      <c r="D49" s="5" t="s">
        <v>238</v>
      </c>
      <c r="E49" s="19">
        <v>311</v>
      </c>
      <c r="F49" s="19">
        <v>0</v>
      </c>
      <c r="G49" s="19">
        <f>E49*AE49</f>
        <v>0</v>
      </c>
      <c r="H49" s="19">
        <f>I49-G49</f>
        <v>0</v>
      </c>
      <c r="I49" s="19">
        <f>E49*F49</f>
        <v>0</v>
      </c>
      <c r="J49" s="19">
        <v>0.33075</v>
      </c>
      <c r="K49" s="19">
        <f>E49*J49</f>
        <v>102.86325</v>
      </c>
      <c r="L49" s="34" t="s">
        <v>262</v>
      </c>
      <c r="P49" s="38">
        <f>IF(AG49="5",I49,0)</f>
        <v>0</v>
      </c>
      <c r="R49" s="38">
        <f>IF(AG49="1",G49,0)</f>
        <v>0</v>
      </c>
      <c r="S49" s="38">
        <f>IF(AG49="1",H49,0)</f>
        <v>0</v>
      </c>
      <c r="T49" s="38">
        <f>IF(AG49="7",G49,0)</f>
        <v>0</v>
      </c>
      <c r="U49" s="38">
        <f>IF(AG49="7",H49,0)</f>
        <v>0</v>
      </c>
      <c r="V49" s="38">
        <f>IF(AG49="2",G49,0)</f>
        <v>0</v>
      </c>
      <c r="W49" s="38">
        <f>IF(AG49="2",H49,0)</f>
        <v>0</v>
      </c>
      <c r="X49" s="38">
        <f>IF(AG49="0",I49,0)</f>
        <v>0</v>
      </c>
      <c r="Y49" s="29"/>
      <c r="Z49" s="19">
        <f>IF(AD49=0,I49,0)</f>
        <v>0</v>
      </c>
      <c r="AA49" s="19">
        <f>IF(AD49=15,I49,0)</f>
        <v>0</v>
      </c>
      <c r="AB49" s="19">
        <f>IF(AD49=21,I49,0)</f>
        <v>0</v>
      </c>
      <c r="AD49" s="38">
        <v>21</v>
      </c>
      <c r="AE49" s="38">
        <f>F49*0.865915492957746</f>
        <v>0</v>
      </c>
      <c r="AF49" s="38">
        <f>F49*(1-0.865915492957746)</f>
        <v>0</v>
      </c>
      <c r="AG49" s="34" t="s">
        <v>6</v>
      </c>
      <c r="AM49" s="38">
        <f>E49*AE49</f>
        <v>0</v>
      </c>
      <c r="AN49" s="38">
        <f>E49*AF49</f>
        <v>0</v>
      </c>
      <c r="AO49" s="39" t="s">
        <v>280</v>
      </c>
      <c r="AP49" s="39" t="s">
        <v>287</v>
      </c>
      <c r="AQ49" s="29" t="s">
        <v>289</v>
      </c>
      <c r="AS49" s="38">
        <f>AM49+AN49</f>
        <v>0</v>
      </c>
      <c r="AT49" s="38">
        <f>F49/(100-AU49)*100</f>
        <v>0</v>
      </c>
      <c r="AU49" s="38">
        <v>0</v>
      </c>
      <c r="AV49" s="38">
        <f>K49</f>
        <v>102.86325</v>
      </c>
    </row>
    <row r="50" spans="3:5" ht="12.75">
      <c r="C50" s="16" t="s">
        <v>156</v>
      </c>
      <c r="E50" s="20">
        <v>217</v>
      </c>
    </row>
    <row r="51" spans="3:5" ht="12.75">
      <c r="C51" s="16" t="s">
        <v>121</v>
      </c>
      <c r="E51" s="20">
        <v>14</v>
      </c>
    </row>
    <row r="52" spans="3:5" ht="12.75">
      <c r="C52" s="16" t="s">
        <v>157</v>
      </c>
      <c r="E52" s="20">
        <v>80</v>
      </c>
    </row>
    <row r="53" spans="1:48" ht="12.75">
      <c r="A53" s="5" t="s">
        <v>23</v>
      </c>
      <c r="B53" s="5" t="s">
        <v>76</v>
      </c>
      <c r="C53" s="5" t="s">
        <v>158</v>
      </c>
      <c r="D53" s="5" t="s">
        <v>238</v>
      </c>
      <c r="E53" s="19">
        <v>193</v>
      </c>
      <c r="F53" s="19">
        <v>0</v>
      </c>
      <c r="G53" s="19">
        <f>E53*AE53</f>
        <v>0</v>
      </c>
      <c r="H53" s="19">
        <f>I53-G53</f>
        <v>0</v>
      </c>
      <c r="I53" s="19">
        <f>E53*F53</f>
        <v>0</v>
      </c>
      <c r="J53" s="19">
        <v>0.48574</v>
      </c>
      <c r="K53" s="19">
        <f>E53*J53</f>
        <v>93.74782</v>
      </c>
      <c r="L53" s="34" t="s">
        <v>262</v>
      </c>
      <c r="P53" s="38">
        <f>IF(AG53="5",I53,0)</f>
        <v>0</v>
      </c>
      <c r="R53" s="38">
        <f>IF(AG53="1",G53,0)</f>
        <v>0</v>
      </c>
      <c r="S53" s="38">
        <f>IF(AG53="1",H53,0)</f>
        <v>0</v>
      </c>
      <c r="T53" s="38">
        <f>IF(AG53="7",G53,0)</f>
        <v>0</v>
      </c>
      <c r="U53" s="38">
        <f>IF(AG53="7",H53,0)</f>
        <v>0</v>
      </c>
      <c r="V53" s="38">
        <f>IF(AG53="2",G53,0)</f>
        <v>0</v>
      </c>
      <c r="W53" s="38">
        <f>IF(AG53="2",H53,0)</f>
        <v>0</v>
      </c>
      <c r="X53" s="38">
        <f>IF(AG53="0",I53,0)</f>
        <v>0</v>
      </c>
      <c r="Y53" s="29"/>
      <c r="Z53" s="19">
        <f>IF(AD53=0,I53,0)</f>
        <v>0</v>
      </c>
      <c r="AA53" s="19">
        <f>IF(AD53=15,I53,0)</f>
        <v>0</v>
      </c>
      <c r="AB53" s="19">
        <f>IF(AD53=21,I53,0)</f>
        <v>0</v>
      </c>
      <c r="AD53" s="38">
        <v>21</v>
      </c>
      <c r="AE53" s="38">
        <f>F53*0.83535390199637</f>
        <v>0</v>
      </c>
      <c r="AF53" s="38">
        <f>F53*(1-0.83535390199637)</f>
        <v>0</v>
      </c>
      <c r="AG53" s="34" t="s">
        <v>6</v>
      </c>
      <c r="AM53" s="38">
        <f>E53*AE53</f>
        <v>0</v>
      </c>
      <c r="AN53" s="38">
        <f>E53*AF53</f>
        <v>0</v>
      </c>
      <c r="AO53" s="39" t="s">
        <v>280</v>
      </c>
      <c r="AP53" s="39" t="s">
        <v>287</v>
      </c>
      <c r="AQ53" s="29" t="s">
        <v>289</v>
      </c>
      <c r="AS53" s="38">
        <f>AM53+AN53</f>
        <v>0</v>
      </c>
      <c r="AT53" s="38">
        <f>F53/(100-AU53)*100</f>
        <v>0</v>
      </c>
      <c r="AU53" s="38">
        <v>0</v>
      </c>
      <c r="AV53" s="38">
        <f>K53</f>
        <v>93.74782</v>
      </c>
    </row>
    <row r="54" spans="3:5" ht="12.75">
      <c r="C54" s="16" t="s">
        <v>159</v>
      </c>
      <c r="E54" s="20">
        <v>193</v>
      </c>
    </row>
    <row r="55" spans="1:48" ht="12.75">
      <c r="A55" s="5" t="s">
        <v>24</v>
      </c>
      <c r="B55" s="5" t="s">
        <v>77</v>
      </c>
      <c r="C55" s="5" t="s">
        <v>160</v>
      </c>
      <c r="D55" s="5" t="s">
        <v>238</v>
      </c>
      <c r="E55" s="19">
        <v>23.2</v>
      </c>
      <c r="F55" s="19">
        <v>0</v>
      </c>
      <c r="G55" s="19">
        <f>E55*AE55</f>
        <v>0</v>
      </c>
      <c r="H55" s="19">
        <f>I55-G55</f>
        <v>0</v>
      </c>
      <c r="I55" s="19">
        <f>E55*F55</f>
        <v>0</v>
      </c>
      <c r="J55" s="19">
        <v>0.211</v>
      </c>
      <c r="K55" s="19">
        <f>E55*J55</f>
        <v>4.8952</v>
      </c>
      <c r="L55" s="34" t="s">
        <v>262</v>
      </c>
      <c r="P55" s="38">
        <f>IF(AG55="5",I55,0)</f>
        <v>0</v>
      </c>
      <c r="R55" s="38">
        <f>IF(AG55="1",G55,0)</f>
        <v>0</v>
      </c>
      <c r="S55" s="38">
        <f>IF(AG55="1",H55,0)</f>
        <v>0</v>
      </c>
      <c r="T55" s="38">
        <f>IF(AG55="7",G55,0)</f>
        <v>0</v>
      </c>
      <c r="U55" s="38">
        <f>IF(AG55="7",H55,0)</f>
        <v>0</v>
      </c>
      <c r="V55" s="38">
        <f>IF(AG55="2",G55,0)</f>
        <v>0</v>
      </c>
      <c r="W55" s="38">
        <f>IF(AG55="2",H55,0)</f>
        <v>0</v>
      </c>
      <c r="X55" s="38">
        <f>IF(AG55="0",I55,0)</f>
        <v>0</v>
      </c>
      <c r="Y55" s="29"/>
      <c r="Z55" s="19">
        <f>IF(AD55=0,I55,0)</f>
        <v>0</v>
      </c>
      <c r="AA55" s="19">
        <f>IF(AD55=15,I55,0)</f>
        <v>0</v>
      </c>
      <c r="AB55" s="19">
        <f>IF(AD55=21,I55,0)</f>
        <v>0</v>
      </c>
      <c r="AD55" s="38">
        <v>21</v>
      </c>
      <c r="AE55" s="38">
        <f>F55*0.880922063666301</f>
        <v>0</v>
      </c>
      <c r="AF55" s="38">
        <f>F55*(1-0.880922063666301)</f>
        <v>0</v>
      </c>
      <c r="AG55" s="34" t="s">
        <v>6</v>
      </c>
      <c r="AM55" s="38">
        <f>E55*AE55</f>
        <v>0</v>
      </c>
      <c r="AN55" s="38">
        <f>E55*AF55</f>
        <v>0</v>
      </c>
      <c r="AO55" s="39" t="s">
        <v>280</v>
      </c>
      <c r="AP55" s="39" t="s">
        <v>287</v>
      </c>
      <c r="AQ55" s="29" t="s">
        <v>289</v>
      </c>
      <c r="AS55" s="38">
        <f>AM55+AN55</f>
        <v>0</v>
      </c>
      <c r="AT55" s="38">
        <f>F55/(100-AU55)*100</f>
        <v>0</v>
      </c>
      <c r="AU55" s="38">
        <v>0</v>
      </c>
      <c r="AV55" s="38">
        <f>K55</f>
        <v>4.8952</v>
      </c>
    </row>
    <row r="56" spans="3:5" ht="12.75">
      <c r="C56" s="16" t="s">
        <v>161</v>
      </c>
      <c r="E56" s="20">
        <v>23.2</v>
      </c>
    </row>
    <row r="57" spans="1:48" ht="12.75">
      <c r="A57" s="5" t="s">
        <v>25</v>
      </c>
      <c r="B57" s="5" t="s">
        <v>78</v>
      </c>
      <c r="C57" s="5" t="s">
        <v>162</v>
      </c>
      <c r="D57" s="5" t="s">
        <v>238</v>
      </c>
      <c r="E57" s="19">
        <v>24</v>
      </c>
      <c r="F57" s="19">
        <v>0</v>
      </c>
      <c r="G57" s="19">
        <f>E57*AE57</f>
        <v>0</v>
      </c>
      <c r="H57" s="19">
        <f>I57-G57</f>
        <v>0</v>
      </c>
      <c r="I57" s="19">
        <f>E57*F57</f>
        <v>0</v>
      </c>
      <c r="J57" s="19">
        <v>0.51086</v>
      </c>
      <c r="K57" s="19">
        <f>E57*J57</f>
        <v>12.260639999999999</v>
      </c>
      <c r="L57" s="34" t="s">
        <v>262</v>
      </c>
      <c r="P57" s="38">
        <f>IF(AG57="5",I57,0)</f>
        <v>0</v>
      </c>
      <c r="R57" s="38">
        <f>IF(AG57="1",G57,0)</f>
        <v>0</v>
      </c>
      <c r="S57" s="38">
        <f>IF(AG57="1",H57,0)</f>
        <v>0</v>
      </c>
      <c r="T57" s="38">
        <f>IF(AG57="7",G57,0)</f>
        <v>0</v>
      </c>
      <c r="U57" s="38">
        <f>IF(AG57="7",H57,0)</f>
        <v>0</v>
      </c>
      <c r="V57" s="38">
        <f>IF(AG57="2",G57,0)</f>
        <v>0</v>
      </c>
      <c r="W57" s="38">
        <f>IF(AG57="2",H57,0)</f>
        <v>0</v>
      </c>
      <c r="X57" s="38">
        <f>IF(AG57="0",I57,0)</f>
        <v>0</v>
      </c>
      <c r="Y57" s="29"/>
      <c r="Z57" s="19">
        <f>IF(AD57=0,I57,0)</f>
        <v>0</v>
      </c>
      <c r="AA57" s="19">
        <f>IF(AD57=15,I57,0)</f>
        <v>0</v>
      </c>
      <c r="AB57" s="19">
        <f>IF(AD57=21,I57,0)</f>
        <v>0</v>
      </c>
      <c r="AD57" s="38">
        <v>21</v>
      </c>
      <c r="AE57" s="38">
        <f>F57*0.894741506646972</f>
        <v>0</v>
      </c>
      <c r="AF57" s="38">
        <f>F57*(1-0.894741506646972)</f>
        <v>0</v>
      </c>
      <c r="AG57" s="34" t="s">
        <v>6</v>
      </c>
      <c r="AM57" s="38">
        <f>E57*AE57</f>
        <v>0</v>
      </c>
      <c r="AN57" s="38">
        <f>E57*AF57</f>
        <v>0</v>
      </c>
      <c r="AO57" s="39" t="s">
        <v>280</v>
      </c>
      <c r="AP57" s="39" t="s">
        <v>287</v>
      </c>
      <c r="AQ57" s="29" t="s">
        <v>289</v>
      </c>
      <c r="AS57" s="38">
        <f>AM57+AN57</f>
        <v>0</v>
      </c>
      <c r="AT57" s="38">
        <f>F57/(100-AU57)*100</f>
        <v>0</v>
      </c>
      <c r="AU57" s="38">
        <v>0</v>
      </c>
      <c r="AV57" s="38">
        <f>K57</f>
        <v>12.260639999999999</v>
      </c>
    </row>
    <row r="58" spans="3:5" ht="12.75">
      <c r="C58" s="16" t="s">
        <v>163</v>
      </c>
      <c r="E58" s="20">
        <v>24</v>
      </c>
    </row>
    <row r="59" spans="1:37" ht="12.75">
      <c r="A59" s="6"/>
      <c r="B59" s="14" t="s">
        <v>79</v>
      </c>
      <c r="C59" s="14" t="s">
        <v>164</v>
      </c>
      <c r="D59" s="6" t="s">
        <v>5</v>
      </c>
      <c r="E59" s="6" t="s">
        <v>5</v>
      </c>
      <c r="F59" s="6" t="s">
        <v>5</v>
      </c>
      <c r="G59" s="41">
        <f>SUM(G60:G62)</f>
        <v>0</v>
      </c>
      <c r="H59" s="41">
        <f>SUM(H60:H62)</f>
        <v>0</v>
      </c>
      <c r="I59" s="41">
        <f>G59+H59</f>
        <v>0</v>
      </c>
      <c r="J59" s="29"/>
      <c r="K59" s="41">
        <f>SUM(K60:K62)</f>
        <v>4.547548</v>
      </c>
      <c r="L59" s="29"/>
      <c r="Y59" s="29"/>
      <c r="AI59" s="41">
        <f>SUM(Z60:Z62)</f>
        <v>0</v>
      </c>
      <c r="AJ59" s="41">
        <f>SUM(AA60:AA62)</f>
        <v>0</v>
      </c>
      <c r="AK59" s="41">
        <f>SUM(AB60:AB62)</f>
        <v>0</v>
      </c>
    </row>
    <row r="60" spans="1:48" ht="12.75">
      <c r="A60" s="5" t="s">
        <v>26</v>
      </c>
      <c r="B60" s="5" t="s">
        <v>80</v>
      </c>
      <c r="C60" s="5" t="s">
        <v>165</v>
      </c>
      <c r="D60" s="5" t="s">
        <v>238</v>
      </c>
      <c r="E60" s="19">
        <v>58</v>
      </c>
      <c r="F60" s="19">
        <v>0</v>
      </c>
      <c r="G60" s="19">
        <f>E60*AE60</f>
        <v>0</v>
      </c>
      <c r="H60" s="19">
        <f>I60-G60</f>
        <v>0</v>
      </c>
      <c r="I60" s="19">
        <f>E60*F60</f>
        <v>0</v>
      </c>
      <c r="J60" s="19">
        <v>0.00061</v>
      </c>
      <c r="K60" s="19">
        <f>E60*J60</f>
        <v>0.03538</v>
      </c>
      <c r="L60" s="34" t="s">
        <v>262</v>
      </c>
      <c r="P60" s="38">
        <f>IF(AG60="5",I60,0)</f>
        <v>0</v>
      </c>
      <c r="R60" s="38">
        <f>IF(AG60="1",G60,0)</f>
        <v>0</v>
      </c>
      <c r="S60" s="38">
        <f>IF(AG60="1",H60,0)</f>
        <v>0</v>
      </c>
      <c r="T60" s="38">
        <f>IF(AG60="7",G60,0)</f>
        <v>0</v>
      </c>
      <c r="U60" s="38">
        <f>IF(AG60="7",H60,0)</f>
        <v>0</v>
      </c>
      <c r="V60" s="38">
        <f>IF(AG60="2",G60,0)</f>
        <v>0</v>
      </c>
      <c r="W60" s="38">
        <f>IF(AG60="2",H60,0)</f>
        <v>0</v>
      </c>
      <c r="X60" s="38">
        <f>IF(AG60="0",I60,0)</f>
        <v>0</v>
      </c>
      <c r="Y60" s="29"/>
      <c r="Z60" s="19">
        <f>IF(AD60=0,I60,0)</f>
        <v>0</v>
      </c>
      <c r="AA60" s="19">
        <f>IF(AD60=15,I60,0)</f>
        <v>0</v>
      </c>
      <c r="AB60" s="19">
        <f>IF(AD60=21,I60,0)</f>
        <v>0</v>
      </c>
      <c r="AD60" s="38">
        <v>21</v>
      </c>
      <c r="AE60" s="38">
        <f>F60*0.929157345264728</f>
        <v>0</v>
      </c>
      <c r="AF60" s="38">
        <f>F60*(1-0.929157345264728)</f>
        <v>0</v>
      </c>
      <c r="AG60" s="34" t="s">
        <v>6</v>
      </c>
      <c r="AM60" s="38">
        <f>E60*AE60</f>
        <v>0</v>
      </c>
      <c r="AN60" s="38">
        <f>E60*AF60</f>
        <v>0</v>
      </c>
      <c r="AO60" s="39" t="s">
        <v>281</v>
      </c>
      <c r="AP60" s="39" t="s">
        <v>287</v>
      </c>
      <c r="AQ60" s="29" t="s">
        <v>289</v>
      </c>
      <c r="AS60" s="38">
        <f>AM60+AN60</f>
        <v>0</v>
      </c>
      <c r="AT60" s="38">
        <f>F60/(100-AU60)*100</f>
        <v>0</v>
      </c>
      <c r="AU60" s="38">
        <v>0</v>
      </c>
      <c r="AV60" s="38">
        <f>K60</f>
        <v>0.03538</v>
      </c>
    </row>
    <row r="61" spans="3:5" ht="12.75">
      <c r="C61" s="16" t="s">
        <v>166</v>
      </c>
      <c r="E61" s="20">
        <v>58</v>
      </c>
    </row>
    <row r="62" spans="1:48" ht="12.75">
      <c r="A62" s="5" t="s">
        <v>27</v>
      </c>
      <c r="B62" s="5" t="s">
        <v>81</v>
      </c>
      <c r="C62" s="5" t="s">
        <v>167</v>
      </c>
      <c r="D62" s="5" t="s">
        <v>238</v>
      </c>
      <c r="E62" s="19">
        <v>34.8</v>
      </c>
      <c r="F62" s="19">
        <v>0</v>
      </c>
      <c r="G62" s="19">
        <f>E62*AE62</f>
        <v>0</v>
      </c>
      <c r="H62" s="19">
        <f>I62-G62</f>
        <v>0</v>
      </c>
      <c r="I62" s="19">
        <f>E62*F62</f>
        <v>0</v>
      </c>
      <c r="J62" s="19">
        <v>0.12966</v>
      </c>
      <c r="K62" s="19">
        <f>E62*J62</f>
        <v>4.512168</v>
      </c>
      <c r="L62" s="34" t="s">
        <v>262</v>
      </c>
      <c r="P62" s="38">
        <f>IF(AG62="5",I62,0)</f>
        <v>0</v>
      </c>
      <c r="R62" s="38">
        <f>IF(AG62="1",G62,0)</f>
        <v>0</v>
      </c>
      <c r="S62" s="38">
        <f>IF(AG62="1",H62,0)</f>
        <v>0</v>
      </c>
      <c r="T62" s="38">
        <f>IF(AG62="7",G62,0)</f>
        <v>0</v>
      </c>
      <c r="U62" s="38">
        <f>IF(AG62="7",H62,0)</f>
        <v>0</v>
      </c>
      <c r="V62" s="38">
        <f>IF(AG62="2",G62,0)</f>
        <v>0</v>
      </c>
      <c r="W62" s="38">
        <f>IF(AG62="2",H62,0)</f>
        <v>0</v>
      </c>
      <c r="X62" s="38">
        <f>IF(AG62="0",I62,0)</f>
        <v>0</v>
      </c>
      <c r="Y62" s="29"/>
      <c r="Z62" s="19">
        <f>IF(AD62=0,I62,0)</f>
        <v>0</v>
      </c>
      <c r="AA62" s="19">
        <f>IF(AD62=15,I62,0)</f>
        <v>0</v>
      </c>
      <c r="AB62" s="19">
        <f>IF(AD62=21,I62,0)</f>
        <v>0</v>
      </c>
      <c r="AD62" s="38">
        <v>21</v>
      </c>
      <c r="AE62" s="38">
        <f>F62*0.9154943273906</f>
        <v>0</v>
      </c>
      <c r="AF62" s="38">
        <f>F62*(1-0.9154943273906)</f>
        <v>0</v>
      </c>
      <c r="AG62" s="34" t="s">
        <v>6</v>
      </c>
      <c r="AM62" s="38">
        <f>E62*AE62</f>
        <v>0</v>
      </c>
      <c r="AN62" s="38">
        <f>E62*AF62</f>
        <v>0</v>
      </c>
      <c r="AO62" s="39" t="s">
        <v>281</v>
      </c>
      <c r="AP62" s="39" t="s">
        <v>287</v>
      </c>
      <c r="AQ62" s="29" t="s">
        <v>289</v>
      </c>
      <c r="AS62" s="38">
        <f>AM62+AN62</f>
        <v>0</v>
      </c>
      <c r="AT62" s="38">
        <f>F62/(100-AU62)*100</f>
        <v>0</v>
      </c>
      <c r="AU62" s="38">
        <v>0</v>
      </c>
      <c r="AV62" s="38">
        <f>K62</f>
        <v>4.512168</v>
      </c>
    </row>
    <row r="63" spans="3:5" ht="12.75">
      <c r="C63" s="16" t="s">
        <v>168</v>
      </c>
      <c r="E63" s="20">
        <v>34.8</v>
      </c>
    </row>
    <row r="64" spans="1:37" ht="12.75">
      <c r="A64" s="6"/>
      <c r="B64" s="14" t="s">
        <v>82</v>
      </c>
      <c r="C64" s="14" t="s">
        <v>169</v>
      </c>
      <c r="D64" s="6" t="s">
        <v>5</v>
      </c>
      <c r="E64" s="6" t="s">
        <v>5</v>
      </c>
      <c r="F64" s="6" t="s">
        <v>5</v>
      </c>
      <c r="G64" s="41">
        <f>SUM(G65:G85)</f>
        <v>0</v>
      </c>
      <c r="H64" s="41">
        <f>SUM(H65:H85)</f>
        <v>0</v>
      </c>
      <c r="I64" s="41">
        <f>G64+H64</f>
        <v>0</v>
      </c>
      <c r="J64" s="29"/>
      <c r="K64" s="41">
        <f>SUM(K65:K85)</f>
        <v>48.185089409999996</v>
      </c>
      <c r="L64" s="29"/>
      <c r="Y64" s="29"/>
      <c r="AI64" s="41">
        <f>SUM(Z65:Z85)</f>
        <v>0</v>
      </c>
      <c r="AJ64" s="41">
        <f>SUM(AA65:AA85)</f>
        <v>0</v>
      </c>
      <c r="AK64" s="41">
        <f>SUM(AB65:AB85)</f>
        <v>0</v>
      </c>
    </row>
    <row r="65" spans="1:48" ht="12.75">
      <c r="A65" s="5" t="s">
        <v>28</v>
      </c>
      <c r="B65" s="5" t="s">
        <v>83</v>
      </c>
      <c r="C65" s="5" t="s">
        <v>170</v>
      </c>
      <c r="D65" s="5" t="s">
        <v>238</v>
      </c>
      <c r="E65" s="19">
        <v>14</v>
      </c>
      <c r="F65" s="19">
        <v>0</v>
      </c>
      <c r="G65" s="19">
        <f>E65*AE65</f>
        <v>0</v>
      </c>
      <c r="H65" s="19">
        <f>I65-G65</f>
        <v>0</v>
      </c>
      <c r="I65" s="19">
        <f>E65*F65</f>
        <v>0</v>
      </c>
      <c r="J65" s="19">
        <v>0.0739</v>
      </c>
      <c r="K65" s="19">
        <f>E65*J65</f>
        <v>1.0346</v>
      </c>
      <c r="L65" s="34" t="s">
        <v>262</v>
      </c>
      <c r="P65" s="38">
        <f>IF(AG65="5",I65,0)</f>
        <v>0</v>
      </c>
      <c r="R65" s="38">
        <f>IF(AG65="1",G65,0)</f>
        <v>0</v>
      </c>
      <c r="S65" s="38">
        <f>IF(AG65="1",H65,0)</f>
        <v>0</v>
      </c>
      <c r="T65" s="38">
        <f>IF(AG65="7",G65,0)</f>
        <v>0</v>
      </c>
      <c r="U65" s="38">
        <f>IF(AG65="7",H65,0)</f>
        <v>0</v>
      </c>
      <c r="V65" s="38">
        <f>IF(AG65="2",G65,0)</f>
        <v>0</v>
      </c>
      <c r="W65" s="38">
        <f>IF(AG65="2",H65,0)</f>
        <v>0</v>
      </c>
      <c r="X65" s="38">
        <f>IF(AG65="0",I65,0)</f>
        <v>0</v>
      </c>
      <c r="Y65" s="29"/>
      <c r="Z65" s="19">
        <f>IF(AD65=0,I65,0)</f>
        <v>0</v>
      </c>
      <c r="AA65" s="19">
        <f>IF(AD65=15,I65,0)</f>
        <v>0</v>
      </c>
      <c r="AB65" s="19">
        <f>IF(AD65=21,I65,0)</f>
        <v>0</v>
      </c>
      <c r="AD65" s="38">
        <v>21</v>
      </c>
      <c r="AE65" s="38">
        <f>F65*0.170561797752809</f>
        <v>0</v>
      </c>
      <c r="AF65" s="38">
        <f>F65*(1-0.170561797752809)</f>
        <v>0</v>
      </c>
      <c r="AG65" s="34" t="s">
        <v>6</v>
      </c>
      <c r="AM65" s="38">
        <f>E65*AE65</f>
        <v>0</v>
      </c>
      <c r="AN65" s="38">
        <f>E65*AF65</f>
        <v>0</v>
      </c>
      <c r="AO65" s="39" t="s">
        <v>282</v>
      </c>
      <c r="AP65" s="39" t="s">
        <v>287</v>
      </c>
      <c r="AQ65" s="29" t="s">
        <v>289</v>
      </c>
      <c r="AS65" s="38">
        <f>AM65+AN65</f>
        <v>0</v>
      </c>
      <c r="AT65" s="38">
        <f>F65/(100-AU65)*100</f>
        <v>0</v>
      </c>
      <c r="AU65" s="38">
        <v>0</v>
      </c>
      <c r="AV65" s="38">
        <f>K65</f>
        <v>1.0346</v>
      </c>
    </row>
    <row r="66" spans="3:5" ht="12.75">
      <c r="C66" s="16" t="s">
        <v>171</v>
      </c>
      <c r="E66" s="20">
        <v>14</v>
      </c>
    </row>
    <row r="67" spans="1:48" ht="12.75">
      <c r="A67" s="5" t="s">
        <v>29</v>
      </c>
      <c r="B67" s="5" t="s">
        <v>84</v>
      </c>
      <c r="C67" s="5" t="s">
        <v>172</v>
      </c>
      <c r="D67" s="5" t="s">
        <v>238</v>
      </c>
      <c r="E67" s="19">
        <v>214.1</v>
      </c>
      <c r="F67" s="19">
        <v>0</v>
      </c>
      <c r="G67" s="19">
        <f>E67*AE67</f>
        <v>0</v>
      </c>
      <c r="H67" s="19">
        <f>I67-G67</f>
        <v>0</v>
      </c>
      <c r="I67" s="19">
        <f>E67*F67</f>
        <v>0</v>
      </c>
      <c r="J67" s="19">
        <v>0.0739</v>
      </c>
      <c r="K67" s="19">
        <f>E67*J67</f>
        <v>15.821989999999998</v>
      </c>
      <c r="L67" s="34" t="s">
        <v>262</v>
      </c>
      <c r="P67" s="38">
        <f>IF(AG67="5",I67,0)</f>
        <v>0</v>
      </c>
      <c r="R67" s="38">
        <f>IF(AG67="1",G67,0)</f>
        <v>0</v>
      </c>
      <c r="S67" s="38">
        <f>IF(AG67="1",H67,0)</f>
        <v>0</v>
      </c>
      <c r="T67" s="38">
        <f>IF(AG67="7",G67,0)</f>
        <v>0</v>
      </c>
      <c r="U67" s="38">
        <f>IF(AG67="7",H67,0)</f>
        <v>0</v>
      </c>
      <c r="V67" s="38">
        <f>IF(AG67="2",G67,0)</f>
        <v>0</v>
      </c>
      <c r="W67" s="38">
        <f>IF(AG67="2",H67,0)</f>
        <v>0</v>
      </c>
      <c r="X67" s="38">
        <f>IF(AG67="0",I67,0)</f>
        <v>0</v>
      </c>
      <c r="Y67" s="29"/>
      <c r="Z67" s="19">
        <f>IF(AD67=0,I67,0)</f>
        <v>0</v>
      </c>
      <c r="AA67" s="19">
        <f>IF(AD67=15,I67,0)</f>
        <v>0</v>
      </c>
      <c r="AB67" s="19">
        <f>IF(AD67=21,I67,0)</f>
        <v>0</v>
      </c>
      <c r="AD67" s="38">
        <v>21</v>
      </c>
      <c r="AE67" s="38">
        <f>F67*0.162172559965223</f>
        <v>0</v>
      </c>
      <c r="AF67" s="38">
        <f>F67*(1-0.162172559965223)</f>
        <v>0</v>
      </c>
      <c r="AG67" s="34" t="s">
        <v>6</v>
      </c>
      <c r="AM67" s="38">
        <f>E67*AE67</f>
        <v>0</v>
      </c>
      <c r="AN67" s="38">
        <f>E67*AF67</f>
        <v>0</v>
      </c>
      <c r="AO67" s="39" t="s">
        <v>282</v>
      </c>
      <c r="AP67" s="39" t="s">
        <v>287</v>
      </c>
      <c r="AQ67" s="29" t="s">
        <v>289</v>
      </c>
      <c r="AS67" s="38">
        <f>AM67+AN67</f>
        <v>0</v>
      </c>
      <c r="AT67" s="38">
        <f>F67/(100-AU67)*100</f>
        <v>0</v>
      </c>
      <c r="AU67" s="38">
        <v>0</v>
      </c>
      <c r="AV67" s="38">
        <f>K67</f>
        <v>15.821989999999998</v>
      </c>
    </row>
    <row r="68" spans="3:5" ht="12.75">
      <c r="C68" s="16" t="s">
        <v>173</v>
      </c>
      <c r="E68" s="20">
        <v>21.1</v>
      </c>
    </row>
    <row r="69" spans="3:5" ht="12.75">
      <c r="C69" s="16" t="s">
        <v>174</v>
      </c>
      <c r="E69" s="20">
        <v>193</v>
      </c>
    </row>
    <row r="70" spans="1:48" ht="12.75">
      <c r="A70" s="7" t="s">
        <v>30</v>
      </c>
      <c r="B70" s="7" t="s">
        <v>85</v>
      </c>
      <c r="C70" s="7" t="s">
        <v>175</v>
      </c>
      <c r="D70" s="7" t="s">
        <v>238</v>
      </c>
      <c r="E70" s="21">
        <v>21.311</v>
      </c>
      <c r="F70" s="21">
        <v>0</v>
      </c>
      <c r="G70" s="21">
        <f>E70*AE70</f>
        <v>0</v>
      </c>
      <c r="H70" s="21">
        <f>I70-G70</f>
        <v>0</v>
      </c>
      <c r="I70" s="21">
        <f>E70*F70</f>
        <v>0</v>
      </c>
      <c r="J70" s="21">
        <v>0.17245</v>
      </c>
      <c r="K70" s="21">
        <f>E70*J70</f>
        <v>3.67508195</v>
      </c>
      <c r="L70" s="35" t="s">
        <v>263</v>
      </c>
      <c r="P70" s="38">
        <f>IF(AG70="5",I70,0)</f>
        <v>0</v>
      </c>
      <c r="R70" s="38">
        <f>IF(AG70="1",G70,0)</f>
        <v>0</v>
      </c>
      <c r="S70" s="38">
        <f>IF(AG70="1",H70,0)</f>
        <v>0</v>
      </c>
      <c r="T70" s="38">
        <f>IF(AG70="7",G70,0)</f>
        <v>0</v>
      </c>
      <c r="U70" s="38">
        <f>IF(AG70="7",H70,0)</f>
        <v>0</v>
      </c>
      <c r="V70" s="38">
        <f>IF(AG70="2",G70,0)</f>
        <v>0</v>
      </c>
      <c r="W70" s="38">
        <f>IF(AG70="2",H70,0)</f>
        <v>0</v>
      </c>
      <c r="X70" s="38">
        <f>IF(AG70="0",I70,0)</f>
        <v>0</v>
      </c>
      <c r="Y70" s="29"/>
      <c r="Z70" s="21">
        <f>IF(AD70=0,I70,0)</f>
        <v>0</v>
      </c>
      <c r="AA70" s="21">
        <f>IF(AD70=15,I70,0)</f>
        <v>0</v>
      </c>
      <c r="AB70" s="21">
        <f>IF(AD70=21,I70,0)</f>
        <v>0</v>
      </c>
      <c r="AD70" s="38">
        <v>21</v>
      </c>
      <c r="AE70" s="38">
        <f>F70*1</f>
        <v>0</v>
      </c>
      <c r="AF70" s="38">
        <f>F70*(1-1)</f>
        <v>0</v>
      </c>
      <c r="AG70" s="35" t="s">
        <v>6</v>
      </c>
      <c r="AM70" s="38">
        <f>E70*AE70</f>
        <v>0</v>
      </c>
      <c r="AN70" s="38">
        <f>E70*AF70</f>
        <v>0</v>
      </c>
      <c r="AO70" s="39" t="s">
        <v>282</v>
      </c>
      <c r="AP70" s="39" t="s">
        <v>287</v>
      </c>
      <c r="AQ70" s="29" t="s">
        <v>289</v>
      </c>
      <c r="AS70" s="38">
        <f>AM70+AN70</f>
        <v>0</v>
      </c>
      <c r="AT70" s="38">
        <f>F70/(100-AU70)*100</f>
        <v>0</v>
      </c>
      <c r="AU70" s="38">
        <v>0</v>
      </c>
      <c r="AV70" s="38">
        <f>K70</f>
        <v>3.67508195</v>
      </c>
    </row>
    <row r="71" spans="3:5" ht="12.75">
      <c r="C71" s="16" t="s">
        <v>176</v>
      </c>
      <c r="E71" s="20">
        <v>21.1</v>
      </c>
    </row>
    <row r="72" spans="3:5" ht="12.75">
      <c r="C72" s="16" t="s">
        <v>177</v>
      </c>
      <c r="E72" s="20">
        <v>0.211</v>
      </c>
    </row>
    <row r="73" spans="1:48" ht="12.75">
      <c r="A73" s="7" t="s">
        <v>31</v>
      </c>
      <c r="B73" s="7" t="s">
        <v>86</v>
      </c>
      <c r="C73" s="7" t="s">
        <v>178</v>
      </c>
      <c r="D73" s="7" t="s">
        <v>238</v>
      </c>
      <c r="E73" s="21">
        <v>2.02</v>
      </c>
      <c r="F73" s="21">
        <v>0</v>
      </c>
      <c r="G73" s="21">
        <f>E73*AE73</f>
        <v>0</v>
      </c>
      <c r="H73" s="21">
        <f>I73-G73</f>
        <v>0</v>
      </c>
      <c r="I73" s="21">
        <f>E73*F73</f>
        <v>0</v>
      </c>
      <c r="J73" s="21">
        <v>0.17824</v>
      </c>
      <c r="K73" s="21">
        <f>E73*J73</f>
        <v>0.3600448</v>
      </c>
      <c r="L73" s="35" t="s">
        <v>262</v>
      </c>
      <c r="P73" s="38">
        <f>IF(AG73="5",I73,0)</f>
        <v>0</v>
      </c>
      <c r="R73" s="38">
        <f>IF(AG73="1",G73,0)</f>
        <v>0</v>
      </c>
      <c r="S73" s="38">
        <f>IF(AG73="1",H73,0)</f>
        <v>0</v>
      </c>
      <c r="T73" s="38">
        <f>IF(AG73="7",G73,0)</f>
        <v>0</v>
      </c>
      <c r="U73" s="38">
        <f>IF(AG73="7",H73,0)</f>
        <v>0</v>
      </c>
      <c r="V73" s="38">
        <f>IF(AG73="2",G73,0)</f>
        <v>0</v>
      </c>
      <c r="W73" s="38">
        <f>IF(AG73="2",H73,0)</f>
        <v>0</v>
      </c>
      <c r="X73" s="38">
        <f>IF(AG73="0",I73,0)</f>
        <v>0</v>
      </c>
      <c r="Y73" s="29"/>
      <c r="Z73" s="21">
        <f>IF(AD73=0,I73,0)</f>
        <v>0</v>
      </c>
      <c r="AA73" s="21">
        <f>IF(AD73=15,I73,0)</f>
        <v>0</v>
      </c>
      <c r="AB73" s="21">
        <f>IF(AD73=21,I73,0)</f>
        <v>0</v>
      </c>
      <c r="AD73" s="38">
        <v>21</v>
      </c>
      <c r="AE73" s="38">
        <f>F73*1</f>
        <v>0</v>
      </c>
      <c r="AF73" s="38">
        <f>F73*(1-1)</f>
        <v>0</v>
      </c>
      <c r="AG73" s="35" t="s">
        <v>6</v>
      </c>
      <c r="AM73" s="38">
        <f>E73*AE73</f>
        <v>0</v>
      </c>
      <c r="AN73" s="38">
        <f>E73*AF73</f>
        <v>0</v>
      </c>
      <c r="AO73" s="39" t="s">
        <v>282</v>
      </c>
      <c r="AP73" s="39" t="s">
        <v>287</v>
      </c>
      <c r="AQ73" s="29" t="s">
        <v>289</v>
      </c>
      <c r="AS73" s="38">
        <f>AM73+AN73</f>
        <v>0</v>
      </c>
      <c r="AT73" s="38">
        <f>F73/(100-AU73)*100</f>
        <v>0</v>
      </c>
      <c r="AU73" s="38">
        <v>0</v>
      </c>
      <c r="AV73" s="38">
        <f>K73</f>
        <v>0.3600448</v>
      </c>
    </row>
    <row r="74" spans="3:5" ht="12.75">
      <c r="C74" s="16" t="s">
        <v>179</v>
      </c>
      <c r="E74" s="20">
        <v>2</v>
      </c>
    </row>
    <row r="75" spans="3:5" ht="12.75">
      <c r="C75" s="16" t="s">
        <v>180</v>
      </c>
      <c r="E75" s="20">
        <v>0.02</v>
      </c>
    </row>
    <row r="76" spans="1:48" ht="12.75">
      <c r="A76" s="7" t="s">
        <v>32</v>
      </c>
      <c r="B76" s="7" t="s">
        <v>87</v>
      </c>
      <c r="C76" s="7" t="s">
        <v>181</v>
      </c>
      <c r="D76" s="7" t="s">
        <v>238</v>
      </c>
      <c r="E76" s="21">
        <v>192.91</v>
      </c>
      <c r="F76" s="21">
        <v>0</v>
      </c>
      <c r="G76" s="21">
        <f>E76*AE76</f>
        <v>0</v>
      </c>
      <c r="H76" s="21">
        <f>I76-G76</f>
        <v>0</v>
      </c>
      <c r="I76" s="21">
        <f>E76*F76</f>
        <v>0</v>
      </c>
      <c r="J76" s="21">
        <v>0.13627</v>
      </c>
      <c r="K76" s="21">
        <f>E76*J76</f>
        <v>26.2878457</v>
      </c>
      <c r="L76" s="35" t="s">
        <v>262</v>
      </c>
      <c r="P76" s="38">
        <f>IF(AG76="5",I76,0)</f>
        <v>0</v>
      </c>
      <c r="R76" s="38">
        <f>IF(AG76="1",G76,0)</f>
        <v>0</v>
      </c>
      <c r="S76" s="38">
        <f>IF(AG76="1",H76,0)</f>
        <v>0</v>
      </c>
      <c r="T76" s="38">
        <f>IF(AG76="7",G76,0)</f>
        <v>0</v>
      </c>
      <c r="U76" s="38">
        <f>IF(AG76="7",H76,0)</f>
        <v>0</v>
      </c>
      <c r="V76" s="38">
        <f>IF(AG76="2",G76,0)</f>
        <v>0</v>
      </c>
      <c r="W76" s="38">
        <f>IF(AG76="2",H76,0)</f>
        <v>0</v>
      </c>
      <c r="X76" s="38">
        <f>IF(AG76="0",I76,0)</f>
        <v>0</v>
      </c>
      <c r="Y76" s="29"/>
      <c r="Z76" s="21">
        <f>IF(AD76=0,I76,0)</f>
        <v>0</v>
      </c>
      <c r="AA76" s="21">
        <f>IF(AD76=15,I76,0)</f>
        <v>0</v>
      </c>
      <c r="AB76" s="21">
        <f>IF(AD76=21,I76,0)</f>
        <v>0</v>
      </c>
      <c r="AD76" s="38">
        <v>21</v>
      </c>
      <c r="AE76" s="38">
        <f>F76*1</f>
        <v>0</v>
      </c>
      <c r="AF76" s="38">
        <f>F76*(1-1)</f>
        <v>0</v>
      </c>
      <c r="AG76" s="35" t="s">
        <v>6</v>
      </c>
      <c r="AM76" s="38">
        <f>E76*AE76</f>
        <v>0</v>
      </c>
      <c r="AN76" s="38">
        <f>E76*AF76</f>
        <v>0</v>
      </c>
      <c r="AO76" s="39" t="s">
        <v>282</v>
      </c>
      <c r="AP76" s="39" t="s">
        <v>287</v>
      </c>
      <c r="AQ76" s="29" t="s">
        <v>289</v>
      </c>
      <c r="AS76" s="38">
        <f>AM76+AN76</f>
        <v>0</v>
      </c>
      <c r="AT76" s="38">
        <f>F76/(100-AU76)*100</f>
        <v>0</v>
      </c>
      <c r="AU76" s="38">
        <v>0</v>
      </c>
      <c r="AV76" s="38">
        <f>K76</f>
        <v>26.2878457</v>
      </c>
    </row>
    <row r="77" spans="3:5" ht="12.75">
      <c r="C77" s="16" t="s">
        <v>182</v>
      </c>
      <c r="E77" s="20">
        <v>191</v>
      </c>
    </row>
    <row r="78" spans="3:5" ht="12.75">
      <c r="C78" s="16" t="s">
        <v>183</v>
      </c>
      <c r="E78" s="20">
        <v>1.91</v>
      </c>
    </row>
    <row r="79" spans="1:48" ht="12.75">
      <c r="A79" s="5" t="s">
        <v>33</v>
      </c>
      <c r="B79" s="5" t="s">
        <v>88</v>
      </c>
      <c r="C79" s="5" t="s">
        <v>184</v>
      </c>
      <c r="D79" s="5" t="s">
        <v>238</v>
      </c>
      <c r="E79" s="19">
        <v>2.9</v>
      </c>
      <c r="F79" s="19">
        <v>0</v>
      </c>
      <c r="G79" s="19">
        <f>E79*AE79</f>
        <v>0</v>
      </c>
      <c r="H79" s="19">
        <f>I79-G79</f>
        <v>0</v>
      </c>
      <c r="I79" s="19">
        <f>E79*F79</f>
        <v>0</v>
      </c>
      <c r="J79" s="19">
        <v>0.14958</v>
      </c>
      <c r="K79" s="19">
        <f>E79*J79</f>
        <v>0.43378199999999995</v>
      </c>
      <c r="L79" s="34" t="s">
        <v>262</v>
      </c>
      <c r="P79" s="38">
        <f>IF(AG79="5",I79,0)</f>
        <v>0</v>
      </c>
      <c r="R79" s="38">
        <f>IF(AG79="1",G79,0)</f>
        <v>0</v>
      </c>
      <c r="S79" s="38">
        <f>IF(AG79="1",H79,0)</f>
        <v>0</v>
      </c>
      <c r="T79" s="38">
        <f>IF(AG79="7",G79,0)</f>
        <v>0</v>
      </c>
      <c r="U79" s="38">
        <f>IF(AG79="7",H79,0)</f>
        <v>0</v>
      </c>
      <c r="V79" s="38">
        <f>IF(AG79="2",G79,0)</f>
        <v>0</v>
      </c>
      <c r="W79" s="38">
        <f>IF(AG79="2",H79,0)</f>
        <v>0</v>
      </c>
      <c r="X79" s="38">
        <f>IF(AG79="0",I79,0)</f>
        <v>0</v>
      </c>
      <c r="Y79" s="29"/>
      <c r="Z79" s="19">
        <f>IF(AD79=0,I79,0)</f>
        <v>0</v>
      </c>
      <c r="AA79" s="19">
        <f>IF(AD79=15,I79,0)</f>
        <v>0</v>
      </c>
      <c r="AB79" s="19">
        <f>IF(AD79=21,I79,0)</f>
        <v>0</v>
      </c>
      <c r="AD79" s="38">
        <v>21</v>
      </c>
      <c r="AE79" s="38">
        <f>F79*0.436079470198676</f>
        <v>0</v>
      </c>
      <c r="AF79" s="38">
        <f>F79*(1-0.436079470198676)</f>
        <v>0</v>
      </c>
      <c r="AG79" s="34" t="s">
        <v>6</v>
      </c>
      <c r="AM79" s="38">
        <f>E79*AE79</f>
        <v>0</v>
      </c>
      <c r="AN79" s="38">
        <f>E79*AF79</f>
        <v>0</v>
      </c>
      <c r="AO79" s="39" t="s">
        <v>282</v>
      </c>
      <c r="AP79" s="39" t="s">
        <v>287</v>
      </c>
      <c r="AQ79" s="29" t="s">
        <v>289</v>
      </c>
      <c r="AS79" s="38">
        <f>AM79+AN79</f>
        <v>0</v>
      </c>
      <c r="AT79" s="38">
        <f>F79/(100-AU79)*100</f>
        <v>0</v>
      </c>
      <c r="AU79" s="38">
        <v>0</v>
      </c>
      <c r="AV79" s="38">
        <f>K79</f>
        <v>0.43378199999999995</v>
      </c>
    </row>
    <row r="80" spans="3:5" ht="12.75">
      <c r="C80" s="16" t="s">
        <v>185</v>
      </c>
      <c r="E80" s="20">
        <v>2.9</v>
      </c>
    </row>
    <row r="81" spans="1:48" ht="12.75">
      <c r="A81" s="7" t="s">
        <v>34</v>
      </c>
      <c r="B81" s="7" t="s">
        <v>86</v>
      </c>
      <c r="C81" s="7" t="s">
        <v>178</v>
      </c>
      <c r="D81" s="7" t="s">
        <v>238</v>
      </c>
      <c r="E81" s="21">
        <v>2.929</v>
      </c>
      <c r="F81" s="21">
        <v>0</v>
      </c>
      <c r="G81" s="21">
        <f>E81*AE81</f>
        <v>0</v>
      </c>
      <c r="H81" s="21">
        <f>I81-G81</f>
        <v>0</v>
      </c>
      <c r="I81" s="21">
        <f>E81*F81</f>
        <v>0</v>
      </c>
      <c r="J81" s="21">
        <v>0.17824</v>
      </c>
      <c r="K81" s="21">
        <f>E81*J81</f>
        <v>0.52206496</v>
      </c>
      <c r="L81" s="35" t="s">
        <v>262</v>
      </c>
      <c r="P81" s="38">
        <f>IF(AG81="5",I81,0)</f>
        <v>0</v>
      </c>
      <c r="R81" s="38">
        <f>IF(AG81="1",G81,0)</f>
        <v>0</v>
      </c>
      <c r="S81" s="38">
        <f>IF(AG81="1",H81,0)</f>
        <v>0</v>
      </c>
      <c r="T81" s="38">
        <f>IF(AG81="7",G81,0)</f>
        <v>0</v>
      </c>
      <c r="U81" s="38">
        <f>IF(AG81="7",H81,0)</f>
        <v>0</v>
      </c>
      <c r="V81" s="38">
        <f>IF(AG81="2",G81,0)</f>
        <v>0</v>
      </c>
      <c r="W81" s="38">
        <f>IF(AG81="2",H81,0)</f>
        <v>0</v>
      </c>
      <c r="X81" s="38">
        <f>IF(AG81="0",I81,0)</f>
        <v>0</v>
      </c>
      <c r="Y81" s="29"/>
      <c r="Z81" s="21">
        <f>IF(AD81=0,I81,0)</f>
        <v>0</v>
      </c>
      <c r="AA81" s="21">
        <f>IF(AD81=15,I81,0)</f>
        <v>0</v>
      </c>
      <c r="AB81" s="21">
        <f>IF(AD81=21,I81,0)</f>
        <v>0</v>
      </c>
      <c r="AD81" s="38">
        <v>21</v>
      </c>
      <c r="AE81" s="38">
        <f>F81*1</f>
        <v>0</v>
      </c>
      <c r="AF81" s="38">
        <f>F81*(1-1)</f>
        <v>0</v>
      </c>
      <c r="AG81" s="35" t="s">
        <v>6</v>
      </c>
      <c r="AM81" s="38">
        <f>E81*AE81</f>
        <v>0</v>
      </c>
      <c r="AN81" s="38">
        <f>E81*AF81</f>
        <v>0</v>
      </c>
      <c r="AO81" s="39" t="s">
        <v>282</v>
      </c>
      <c r="AP81" s="39" t="s">
        <v>287</v>
      </c>
      <c r="AQ81" s="29" t="s">
        <v>289</v>
      </c>
      <c r="AS81" s="38">
        <f>AM81+AN81</f>
        <v>0</v>
      </c>
      <c r="AT81" s="38">
        <f>F81/(100-AU81)*100</f>
        <v>0</v>
      </c>
      <c r="AU81" s="38">
        <v>0</v>
      </c>
      <c r="AV81" s="38">
        <f>K81</f>
        <v>0.52206496</v>
      </c>
    </row>
    <row r="82" spans="3:5" ht="12.75">
      <c r="C82" s="16" t="s">
        <v>186</v>
      </c>
      <c r="E82" s="20">
        <v>2.9</v>
      </c>
    </row>
    <row r="83" spans="3:5" ht="12.75">
      <c r="C83" s="16" t="s">
        <v>187</v>
      </c>
      <c r="E83" s="20">
        <v>0.029</v>
      </c>
    </row>
    <row r="84" spans="1:48" ht="12.75">
      <c r="A84" s="5" t="s">
        <v>35</v>
      </c>
      <c r="B84" s="5" t="s">
        <v>89</v>
      </c>
      <c r="C84" s="5" t="s">
        <v>188</v>
      </c>
      <c r="D84" s="5" t="s">
        <v>239</v>
      </c>
      <c r="E84" s="19">
        <v>138</v>
      </c>
      <c r="F84" s="19">
        <v>0</v>
      </c>
      <c r="G84" s="19">
        <f>E84*AE84</f>
        <v>0</v>
      </c>
      <c r="H84" s="19">
        <f>I84-G84</f>
        <v>0</v>
      </c>
      <c r="I84" s="19">
        <f>E84*F84</f>
        <v>0</v>
      </c>
      <c r="J84" s="19">
        <v>0.00036</v>
      </c>
      <c r="K84" s="19">
        <f>E84*J84</f>
        <v>0.04968</v>
      </c>
      <c r="L84" s="34" t="s">
        <v>262</v>
      </c>
      <c r="P84" s="38">
        <f>IF(AG84="5",I84,0)</f>
        <v>0</v>
      </c>
      <c r="R84" s="38">
        <f>IF(AG84="1",G84,0)</f>
        <v>0</v>
      </c>
      <c r="S84" s="38">
        <f>IF(AG84="1",H84,0)</f>
        <v>0</v>
      </c>
      <c r="T84" s="38">
        <f>IF(AG84="7",G84,0)</f>
        <v>0</v>
      </c>
      <c r="U84" s="38">
        <f>IF(AG84="7",H84,0)</f>
        <v>0</v>
      </c>
      <c r="V84" s="38">
        <f>IF(AG84="2",G84,0)</f>
        <v>0</v>
      </c>
      <c r="W84" s="38">
        <f>IF(AG84="2",H84,0)</f>
        <v>0</v>
      </c>
      <c r="X84" s="38">
        <f>IF(AG84="0",I84,0)</f>
        <v>0</v>
      </c>
      <c r="Y84" s="29"/>
      <c r="Z84" s="19">
        <f>IF(AD84=0,I84,0)</f>
        <v>0</v>
      </c>
      <c r="AA84" s="19">
        <f>IF(AD84=15,I84,0)</f>
        <v>0</v>
      </c>
      <c r="AB84" s="19">
        <f>IF(AD84=21,I84,0)</f>
        <v>0</v>
      </c>
      <c r="AD84" s="38">
        <v>21</v>
      </c>
      <c r="AE84" s="38">
        <f>F84*0.0677798217065233</f>
        <v>0</v>
      </c>
      <c r="AF84" s="38">
        <f>F84*(1-0.0677798217065233)</f>
        <v>0</v>
      </c>
      <c r="AG84" s="34" t="s">
        <v>6</v>
      </c>
      <c r="AM84" s="38">
        <f>E84*AE84</f>
        <v>0</v>
      </c>
      <c r="AN84" s="38">
        <f>E84*AF84</f>
        <v>0</v>
      </c>
      <c r="AO84" s="39" t="s">
        <v>282</v>
      </c>
      <c r="AP84" s="39" t="s">
        <v>287</v>
      </c>
      <c r="AQ84" s="29" t="s">
        <v>289</v>
      </c>
      <c r="AS84" s="38">
        <f>AM84+AN84</f>
        <v>0</v>
      </c>
      <c r="AT84" s="38">
        <f>F84/(100-AU84)*100</f>
        <v>0</v>
      </c>
      <c r="AU84" s="38">
        <v>0</v>
      </c>
      <c r="AV84" s="38">
        <f>K84</f>
        <v>0.04968</v>
      </c>
    </row>
    <row r="85" spans="1:48" ht="12.75">
      <c r="A85" s="5" t="s">
        <v>36</v>
      </c>
      <c r="B85" s="5" t="s">
        <v>90</v>
      </c>
      <c r="C85" s="5" t="s">
        <v>189</v>
      </c>
      <c r="D85" s="5" t="s">
        <v>240</v>
      </c>
      <c r="E85" s="19">
        <v>4.202</v>
      </c>
      <c r="F85" s="19">
        <v>0</v>
      </c>
      <c r="G85" s="19">
        <f>E85*AE85</f>
        <v>0</v>
      </c>
      <c r="H85" s="19">
        <f>I85-G85</f>
        <v>0</v>
      </c>
      <c r="I85" s="19">
        <f>E85*F85</f>
        <v>0</v>
      </c>
      <c r="J85" s="19">
        <v>0</v>
      </c>
      <c r="K85" s="19">
        <f>E85*J85</f>
        <v>0</v>
      </c>
      <c r="L85" s="34" t="s">
        <v>262</v>
      </c>
      <c r="P85" s="38">
        <f>IF(AG85="5",I85,0)</f>
        <v>0</v>
      </c>
      <c r="R85" s="38">
        <f>IF(AG85="1",G85,0)</f>
        <v>0</v>
      </c>
      <c r="S85" s="38">
        <f>IF(AG85="1",H85,0)</f>
        <v>0</v>
      </c>
      <c r="T85" s="38">
        <f>IF(AG85="7",G85,0)</f>
        <v>0</v>
      </c>
      <c r="U85" s="38">
        <f>IF(AG85="7",H85,0)</f>
        <v>0</v>
      </c>
      <c r="V85" s="38">
        <f>IF(AG85="2",G85,0)</f>
        <v>0</v>
      </c>
      <c r="W85" s="38">
        <f>IF(AG85="2",H85,0)</f>
        <v>0</v>
      </c>
      <c r="X85" s="38">
        <f>IF(AG85="0",I85,0)</f>
        <v>0</v>
      </c>
      <c r="Y85" s="29"/>
      <c r="Z85" s="19">
        <f>IF(AD85=0,I85,0)</f>
        <v>0</v>
      </c>
      <c r="AA85" s="19">
        <f>IF(AD85=15,I85,0)</f>
        <v>0</v>
      </c>
      <c r="AB85" s="19">
        <f>IF(AD85=21,I85,0)</f>
        <v>0</v>
      </c>
      <c r="AD85" s="38">
        <v>21</v>
      </c>
      <c r="AE85" s="38">
        <f>F85*0</f>
        <v>0</v>
      </c>
      <c r="AF85" s="38">
        <f>F85*(1-0)</f>
        <v>0</v>
      </c>
      <c r="AG85" s="34" t="s">
        <v>6</v>
      </c>
      <c r="AM85" s="38">
        <f>E85*AE85</f>
        <v>0</v>
      </c>
      <c r="AN85" s="38">
        <f>E85*AF85</f>
        <v>0</v>
      </c>
      <c r="AO85" s="39" t="s">
        <v>282</v>
      </c>
      <c r="AP85" s="39" t="s">
        <v>287</v>
      </c>
      <c r="AQ85" s="29" t="s">
        <v>289</v>
      </c>
      <c r="AS85" s="38">
        <f>AM85+AN85</f>
        <v>0</v>
      </c>
      <c r="AT85" s="38">
        <f>F85/(100-AU85)*100</f>
        <v>0</v>
      </c>
      <c r="AU85" s="38">
        <v>0</v>
      </c>
      <c r="AV85" s="38">
        <f>K85</f>
        <v>0</v>
      </c>
    </row>
    <row r="86" spans="3:5" ht="12.75">
      <c r="C86" s="16" t="s">
        <v>190</v>
      </c>
      <c r="E86" s="20">
        <v>4.202</v>
      </c>
    </row>
    <row r="87" spans="1:37" ht="12.75">
      <c r="A87" s="6"/>
      <c r="B87" s="14" t="s">
        <v>91</v>
      </c>
      <c r="C87" s="14" t="s">
        <v>191</v>
      </c>
      <c r="D87" s="6" t="s">
        <v>5</v>
      </c>
      <c r="E87" s="6" t="s">
        <v>5</v>
      </c>
      <c r="F87" s="6" t="s">
        <v>5</v>
      </c>
      <c r="G87" s="41">
        <f>SUM(G88:G111)</f>
        <v>0</v>
      </c>
      <c r="H87" s="41">
        <f>SUM(H88:H111)</f>
        <v>0</v>
      </c>
      <c r="I87" s="41">
        <f>G87+H87</f>
        <v>0</v>
      </c>
      <c r="J87" s="29"/>
      <c r="K87" s="41">
        <f>SUM(K88:K111)</f>
        <v>78.10118969999999</v>
      </c>
      <c r="L87" s="29"/>
      <c r="Y87" s="29"/>
      <c r="AI87" s="41">
        <f>SUM(Z88:Z111)</f>
        <v>0</v>
      </c>
      <c r="AJ87" s="41">
        <f>SUM(AA88:AA111)</f>
        <v>0</v>
      </c>
      <c r="AK87" s="41">
        <f>SUM(AB88:AB111)</f>
        <v>0</v>
      </c>
    </row>
    <row r="88" spans="1:48" ht="12.75">
      <c r="A88" s="5" t="s">
        <v>37</v>
      </c>
      <c r="B88" s="5" t="s">
        <v>92</v>
      </c>
      <c r="C88" s="5" t="s">
        <v>192</v>
      </c>
      <c r="D88" s="5" t="s">
        <v>239</v>
      </c>
      <c r="E88" s="19">
        <v>257</v>
      </c>
      <c r="F88" s="19">
        <v>0</v>
      </c>
      <c r="G88" s="19">
        <f>E88*AE88</f>
        <v>0</v>
      </c>
      <c r="H88" s="19">
        <f>I88-G88</f>
        <v>0</v>
      </c>
      <c r="I88" s="19">
        <f>E88*F88</f>
        <v>0</v>
      </c>
      <c r="J88" s="19">
        <v>0.14874</v>
      </c>
      <c r="K88" s="19">
        <f>E88*J88</f>
        <v>38.22618</v>
      </c>
      <c r="L88" s="34" t="s">
        <v>262</v>
      </c>
      <c r="P88" s="38">
        <f>IF(AG88="5",I88,0)</f>
        <v>0</v>
      </c>
      <c r="R88" s="38">
        <f>IF(AG88="1",G88,0)</f>
        <v>0</v>
      </c>
      <c r="S88" s="38">
        <f>IF(AG88="1",H88,0)</f>
        <v>0</v>
      </c>
      <c r="T88" s="38">
        <f>IF(AG88="7",G88,0)</f>
        <v>0</v>
      </c>
      <c r="U88" s="38">
        <f>IF(AG88="7",H88,0)</f>
        <v>0</v>
      </c>
      <c r="V88" s="38">
        <f>IF(AG88="2",G88,0)</f>
        <v>0</v>
      </c>
      <c r="W88" s="38">
        <f>IF(AG88="2",H88,0)</f>
        <v>0</v>
      </c>
      <c r="X88" s="38">
        <f>IF(AG88="0",I88,0)</f>
        <v>0</v>
      </c>
      <c r="Y88" s="29"/>
      <c r="Z88" s="19">
        <f>IF(AD88=0,I88,0)</f>
        <v>0</v>
      </c>
      <c r="AA88" s="19">
        <f>IF(AD88=15,I88,0)</f>
        <v>0</v>
      </c>
      <c r="AB88" s="19">
        <f>IF(AD88=21,I88,0)</f>
        <v>0</v>
      </c>
      <c r="AD88" s="38">
        <v>21</v>
      </c>
      <c r="AE88" s="38">
        <f>F88*0.579734152155468</f>
        <v>0</v>
      </c>
      <c r="AF88" s="38">
        <f>F88*(1-0.579734152155468)</f>
        <v>0</v>
      </c>
      <c r="AG88" s="34" t="s">
        <v>6</v>
      </c>
      <c r="AM88" s="38">
        <f>E88*AE88</f>
        <v>0</v>
      </c>
      <c r="AN88" s="38">
        <f>E88*AF88</f>
        <v>0</v>
      </c>
      <c r="AO88" s="39" t="s">
        <v>283</v>
      </c>
      <c r="AP88" s="39" t="s">
        <v>288</v>
      </c>
      <c r="AQ88" s="29" t="s">
        <v>289</v>
      </c>
      <c r="AS88" s="38">
        <f>AM88+AN88</f>
        <v>0</v>
      </c>
      <c r="AT88" s="38">
        <f>F88/(100-AU88)*100</f>
        <v>0</v>
      </c>
      <c r="AU88" s="38">
        <v>0</v>
      </c>
      <c r="AV88" s="38">
        <f>K88</f>
        <v>38.22618</v>
      </c>
    </row>
    <row r="89" spans="3:5" ht="12.75">
      <c r="C89" s="16" t="s">
        <v>193</v>
      </c>
      <c r="E89" s="20">
        <v>138</v>
      </c>
    </row>
    <row r="90" spans="3:5" ht="12.75">
      <c r="C90" s="16" t="s">
        <v>194</v>
      </c>
      <c r="E90" s="20">
        <v>116</v>
      </c>
    </row>
    <row r="91" spans="3:5" ht="12.75">
      <c r="C91" s="16" t="s">
        <v>195</v>
      </c>
      <c r="E91" s="20">
        <v>3</v>
      </c>
    </row>
    <row r="92" spans="1:48" ht="12.75">
      <c r="A92" s="7" t="s">
        <v>38</v>
      </c>
      <c r="B92" s="7" t="s">
        <v>93</v>
      </c>
      <c r="C92" s="7" t="s">
        <v>196</v>
      </c>
      <c r="D92" s="7" t="s">
        <v>241</v>
      </c>
      <c r="E92" s="21">
        <v>3.03</v>
      </c>
      <c r="F92" s="21">
        <v>0</v>
      </c>
      <c r="G92" s="21">
        <f>E92*AE92</f>
        <v>0</v>
      </c>
      <c r="H92" s="21">
        <f>I92-G92</f>
        <v>0</v>
      </c>
      <c r="I92" s="21">
        <f>E92*F92</f>
        <v>0</v>
      </c>
      <c r="J92" s="21">
        <v>0.05417</v>
      </c>
      <c r="K92" s="21">
        <f>E92*J92</f>
        <v>0.1641351</v>
      </c>
      <c r="L92" s="35" t="s">
        <v>262</v>
      </c>
      <c r="P92" s="38">
        <f>IF(AG92="5",I92,0)</f>
        <v>0</v>
      </c>
      <c r="R92" s="38">
        <f>IF(AG92="1",G92,0)</f>
        <v>0</v>
      </c>
      <c r="S92" s="38">
        <f>IF(AG92="1",H92,0)</f>
        <v>0</v>
      </c>
      <c r="T92" s="38">
        <f>IF(AG92="7",G92,0)</f>
        <v>0</v>
      </c>
      <c r="U92" s="38">
        <f>IF(AG92="7",H92,0)</f>
        <v>0</v>
      </c>
      <c r="V92" s="38">
        <f>IF(AG92="2",G92,0)</f>
        <v>0</v>
      </c>
      <c r="W92" s="38">
        <f>IF(AG92="2",H92,0)</f>
        <v>0</v>
      </c>
      <c r="X92" s="38">
        <f>IF(AG92="0",I92,0)</f>
        <v>0</v>
      </c>
      <c r="Y92" s="29"/>
      <c r="Z92" s="21">
        <f>IF(AD92=0,I92,0)</f>
        <v>0</v>
      </c>
      <c r="AA92" s="21">
        <f>IF(AD92=15,I92,0)</f>
        <v>0</v>
      </c>
      <c r="AB92" s="21">
        <f>IF(AD92=21,I92,0)</f>
        <v>0</v>
      </c>
      <c r="AD92" s="38">
        <v>21</v>
      </c>
      <c r="AE92" s="38">
        <f>F92*1</f>
        <v>0</v>
      </c>
      <c r="AF92" s="38">
        <f>F92*(1-1)</f>
        <v>0</v>
      </c>
      <c r="AG92" s="35" t="s">
        <v>6</v>
      </c>
      <c r="AM92" s="38">
        <f>E92*AE92</f>
        <v>0</v>
      </c>
      <c r="AN92" s="38">
        <f>E92*AF92</f>
        <v>0</v>
      </c>
      <c r="AO92" s="39" t="s">
        <v>283</v>
      </c>
      <c r="AP92" s="39" t="s">
        <v>288</v>
      </c>
      <c r="AQ92" s="29" t="s">
        <v>289</v>
      </c>
      <c r="AS92" s="38">
        <f>AM92+AN92</f>
        <v>0</v>
      </c>
      <c r="AT92" s="38">
        <f>F92/(100-AU92)*100</f>
        <v>0</v>
      </c>
      <c r="AU92" s="38">
        <v>0</v>
      </c>
      <c r="AV92" s="38">
        <f>K92</f>
        <v>0.1641351</v>
      </c>
    </row>
    <row r="93" spans="3:5" ht="12.75">
      <c r="C93" s="16" t="s">
        <v>8</v>
      </c>
      <c r="E93" s="20">
        <v>3</v>
      </c>
    </row>
    <row r="94" spans="3:5" ht="12.75">
      <c r="C94" s="16" t="s">
        <v>197</v>
      </c>
      <c r="E94" s="20">
        <v>0.03</v>
      </c>
    </row>
    <row r="95" spans="1:48" ht="12.75">
      <c r="A95" s="7" t="s">
        <v>39</v>
      </c>
      <c r="B95" s="7" t="s">
        <v>94</v>
      </c>
      <c r="C95" s="7" t="s">
        <v>198</v>
      </c>
      <c r="D95" s="7" t="s">
        <v>241</v>
      </c>
      <c r="E95" s="21">
        <v>139.38</v>
      </c>
      <c r="F95" s="21">
        <v>0</v>
      </c>
      <c r="G95" s="21">
        <f>E95*AE95</f>
        <v>0</v>
      </c>
      <c r="H95" s="21">
        <f>I95-G95</f>
        <v>0</v>
      </c>
      <c r="I95" s="21">
        <f>E95*F95</f>
        <v>0</v>
      </c>
      <c r="J95" s="21">
        <v>0.08197</v>
      </c>
      <c r="K95" s="21">
        <f>E95*J95</f>
        <v>11.4249786</v>
      </c>
      <c r="L95" s="35" t="s">
        <v>262</v>
      </c>
      <c r="P95" s="38">
        <f>IF(AG95="5",I95,0)</f>
        <v>0</v>
      </c>
      <c r="R95" s="38">
        <f>IF(AG95="1",G95,0)</f>
        <v>0</v>
      </c>
      <c r="S95" s="38">
        <f>IF(AG95="1",H95,0)</f>
        <v>0</v>
      </c>
      <c r="T95" s="38">
        <f>IF(AG95="7",G95,0)</f>
        <v>0</v>
      </c>
      <c r="U95" s="38">
        <f>IF(AG95="7",H95,0)</f>
        <v>0</v>
      </c>
      <c r="V95" s="38">
        <f>IF(AG95="2",G95,0)</f>
        <v>0</v>
      </c>
      <c r="W95" s="38">
        <f>IF(AG95="2",H95,0)</f>
        <v>0</v>
      </c>
      <c r="X95" s="38">
        <f>IF(AG95="0",I95,0)</f>
        <v>0</v>
      </c>
      <c r="Y95" s="29"/>
      <c r="Z95" s="21">
        <f>IF(AD95=0,I95,0)</f>
        <v>0</v>
      </c>
      <c r="AA95" s="21">
        <f>IF(AD95=15,I95,0)</f>
        <v>0</v>
      </c>
      <c r="AB95" s="21">
        <f>IF(AD95=21,I95,0)</f>
        <v>0</v>
      </c>
      <c r="AD95" s="38">
        <v>21</v>
      </c>
      <c r="AE95" s="38">
        <f>F95*1</f>
        <v>0</v>
      </c>
      <c r="AF95" s="38">
        <f>F95*(1-1)</f>
        <v>0</v>
      </c>
      <c r="AG95" s="35" t="s">
        <v>6</v>
      </c>
      <c r="AM95" s="38">
        <f>E95*AE95</f>
        <v>0</v>
      </c>
      <c r="AN95" s="38">
        <f>E95*AF95</f>
        <v>0</v>
      </c>
      <c r="AO95" s="39" t="s">
        <v>283</v>
      </c>
      <c r="AP95" s="39" t="s">
        <v>288</v>
      </c>
      <c r="AQ95" s="29" t="s">
        <v>289</v>
      </c>
      <c r="AS95" s="38">
        <f>AM95+AN95</f>
        <v>0</v>
      </c>
      <c r="AT95" s="38">
        <f>F95/(100-AU95)*100</f>
        <v>0</v>
      </c>
      <c r="AU95" s="38">
        <v>0</v>
      </c>
      <c r="AV95" s="38">
        <f>K95</f>
        <v>11.4249786</v>
      </c>
    </row>
    <row r="96" spans="3:5" ht="12.75">
      <c r="C96" s="16" t="s">
        <v>199</v>
      </c>
      <c r="E96" s="20">
        <v>138</v>
      </c>
    </row>
    <row r="97" spans="3:5" ht="12.75">
      <c r="C97" s="16" t="s">
        <v>200</v>
      </c>
      <c r="E97" s="20">
        <v>1.38</v>
      </c>
    </row>
    <row r="98" spans="1:48" ht="12.75">
      <c r="A98" s="7" t="s">
        <v>40</v>
      </c>
      <c r="B98" s="7" t="s">
        <v>95</v>
      </c>
      <c r="C98" s="7" t="s">
        <v>201</v>
      </c>
      <c r="D98" s="7" t="s">
        <v>241</v>
      </c>
      <c r="E98" s="21">
        <v>117.16</v>
      </c>
      <c r="F98" s="21">
        <v>0</v>
      </c>
      <c r="G98" s="21">
        <f>E98*AE98</f>
        <v>0</v>
      </c>
      <c r="H98" s="21">
        <f>I98-G98</f>
        <v>0</v>
      </c>
      <c r="I98" s="21">
        <f>E98*F98</f>
        <v>0</v>
      </c>
      <c r="J98" s="21">
        <v>0.0421</v>
      </c>
      <c r="K98" s="21">
        <f>E98*J98</f>
        <v>4.932436</v>
      </c>
      <c r="L98" s="35" t="s">
        <v>262</v>
      </c>
      <c r="P98" s="38">
        <f>IF(AG98="5",I98,0)</f>
        <v>0</v>
      </c>
      <c r="R98" s="38">
        <f>IF(AG98="1",G98,0)</f>
        <v>0</v>
      </c>
      <c r="S98" s="38">
        <f>IF(AG98="1",H98,0)</f>
        <v>0</v>
      </c>
      <c r="T98" s="38">
        <f>IF(AG98="7",G98,0)</f>
        <v>0</v>
      </c>
      <c r="U98" s="38">
        <f>IF(AG98="7",H98,0)</f>
        <v>0</v>
      </c>
      <c r="V98" s="38">
        <f>IF(AG98="2",G98,0)</f>
        <v>0</v>
      </c>
      <c r="W98" s="38">
        <f>IF(AG98="2",H98,0)</f>
        <v>0</v>
      </c>
      <c r="X98" s="38">
        <f>IF(AG98="0",I98,0)</f>
        <v>0</v>
      </c>
      <c r="Y98" s="29"/>
      <c r="Z98" s="21">
        <f>IF(AD98=0,I98,0)</f>
        <v>0</v>
      </c>
      <c r="AA98" s="21">
        <f>IF(AD98=15,I98,0)</f>
        <v>0</v>
      </c>
      <c r="AB98" s="21">
        <f>IF(AD98=21,I98,0)</f>
        <v>0</v>
      </c>
      <c r="AD98" s="38">
        <v>21</v>
      </c>
      <c r="AE98" s="38">
        <f>F98*1</f>
        <v>0</v>
      </c>
      <c r="AF98" s="38">
        <f>F98*(1-1)</f>
        <v>0</v>
      </c>
      <c r="AG98" s="35" t="s">
        <v>6</v>
      </c>
      <c r="AM98" s="38">
        <f>E98*AE98</f>
        <v>0</v>
      </c>
      <c r="AN98" s="38">
        <f>E98*AF98</f>
        <v>0</v>
      </c>
      <c r="AO98" s="39" t="s">
        <v>283</v>
      </c>
      <c r="AP98" s="39" t="s">
        <v>288</v>
      </c>
      <c r="AQ98" s="29" t="s">
        <v>289</v>
      </c>
      <c r="AS98" s="38">
        <f>AM98+AN98</f>
        <v>0</v>
      </c>
      <c r="AT98" s="38">
        <f>F98/(100-AU98)*100</f>
        <v>0</v>
      </c>
      <c r="AU98" s="38">
        <v>0</v>
      </c>
      <c r="AV98" s="38">
        <f>K98</f>
        <v>4.932436</v>
      </c>
    </row>
    <row r="99" spans="3:5" ht="12.75">
      <c r="C99" s="16" t="s">
        <v>202</v>
      </c>
      <c r="E99" s="20">
        <v>116</v>
      </c>
    </row>
    <row r="100" spans="3:5" ht="12.75">
      <c r="C100" s="16" t="s">
        <v>203</v>
      </c>
      <c r="E100" s="20">
        <v>1.16</v>
      </c>
    </row>
    <row r="101" spans="1:48" ht="12.75">
      <c r="A101" s="5" t="s">
        <v>41</v>
      </c>
      <c r="B101" s="5" t="s">
        <v>96</v>
      </c>
      <c r="C101" s="5" t="s">
        <v>204</v>
      </c>
      <c r="D101" s="5" t="s">
        <v>240</v>
      </c>
      <c r="E101" s="19">
        <v>9.2</v>
      </c>
      <c r="F101" s="19">
        <v>0</v>
      </c>
      <c r="G101" s="19">
        <f>E101*AE101</f>
        <v>0</v>
      </c>
      <c r="H101" s="19">
        <f>I101-G101</f>
        <v>0</v>
      </c>
      <c r="I101" s="19">
        <f>E101*F101</f>
        <v>0</v>
      </c>
      <c r="J101" s="19">
        <v>2.525</v>
      </c>
      <c r="K101" s="19">
        <f>E101*J101</f>
        <v>23.229999999999997</v>
      </c>
      <c r="L101" s="34" t="s">
        <v>262</v>
      </c>
      <c r="P101" s="38">
        <f>IF(AG101="5",I101,0)</f>
        <v>0</v>
      </c>
      <c r="R101" s="38">
        <f>IF(AG101="1",G101,0)</f>
        <v>0</v>
      </c>
      <c r="S101" s="38">
        <f>IF(AG101="1",H101,0)</f>
        <v>0</v>
      </c>
      <c r="T101" s="38">
        <f>IF(AG101="7",G101,0)</f>
        <v>0</v>
      </c>
      <c r="U101" s="38">
        <f>IF(AG101="7",H101,0)</f>
        <v>0</v>
      </c>
      <c r="V101" s="38">
        <f>IF(AG101="2",G101,0)</f>
        <v>0</v>
      </c>
      <c r="W101" s="38">
        <f>IF(AG101="2",H101,0)</f>
        <v>0</v>
      </c>
      <c r="X101" s="38">
        <f>IF(AG101="0",I101,0)</f>
        <v>0</v>
      </c>
      <c r="Y101" s="29"/>
      <c r="Z101" s="19">
        <f>IF(AD101=0,I101,0)</f>
        <v>0</v>
      </c>
      <c r="AA101" s="19">
        <f>IF(AD101=15,I101,0)</f>
        <v>0</v>
      </c>
      <c r="AB101" s="19">
        <f>IF(AD101=21,I101,0)</f>
        <v>0</v>
      </c>
      <c r="AD101" s="38">
        <v>21</v>
      </c>
      <c r="AE101" s="38">
        <f>F101*0.793586776859504</f>
        <v>0</v>
      </c>
      <c r="AF101" s="38">
        <f>F101*(1-0.793586776859504)</f>
        <v>0</v>
      </c>
      <c r="AG101" s="34" t="s">
        <v>6</v>
      </c>
      <c r="AM101" s="38">
        <f>E101*AE101</f>
        <v>0</v>
      </c>
      <c r="AN101" s="38">
        <f>E101*AF101</f>
        <v>0</v>
      </c>
      <c r="AO101" s="39" t="s">
        <v>283</v>
      </c>
      <c r="AP101" s="39" t="s">
        <v>288</v>
      </c>
      <c r="AQ101" s="29" t="s">
        <v>289</v>
      </c>
      <c r="AS101" s="38">
        <f>AM101+AN101</f>
        <v>0</v>
      </c>
      <c r="AT101" s="38">
        <f>F101/(100-AU101)*100</f>
        <v>0</v>
      </c>
      <c r="AU101" s="38">
        <v>0</v>
      </c>
      <c r="AV101" s="38">
        <f>K101</f>
        <v>23.229999999999997</v>
      </c>
    </row>
    <row r="102" spans="3:5" ht="12.75">
      <c r="C102" s="16" t="s">
        <v>205</v>
      </c>
      <c r="E102" s="20">
        <v>9.2</v>
      </c>
    </row>
    <row r="103" spans="1:48" ht="12.75">
      <c r="A103" s="5" t="s">
        <v>42</v>
      </c>
      <c r="B103" s="5" t="s">
        <v>97</v>
      </c>
      <c r="C103" s="5" t="s">
        <v>206</v>
      </c>
      <c r="D103" s="5" t="s">
        <v>239</v>
      </c>
      <c r="E103" s="19">
        <v>120</v>
      </c>
      <c r="F103" s="19">
        <v>0</v>
      </c>
      <c r="G103" s="19">
        <f>E103*AE103</f>
        <v>0</v>
      </c>
      <c r="H103" s="19">
        <f>I103-G103</f>
        <v>0</v>
      </c>
      <c r="I103" s="19">
        <f>E103*F103</f>
        <v>0</v>
      </c>
      <c r="J103" s="19">
        <v>0</v>
      </c>
      <c r="K103" s="19">
        <f>E103*J103</f>
        <v>0</v>
      </c>
      <c r="L103" s="34" t="s">
        <v>262</v>
      </c>
      <c r="P103" s="38">
        <f>IF(AG103="5",I103,0)</f>
        <v>0</v>
      </c>
      <c r="R103" s="38">
        <f>IF(AG103="1",G103,0)</f>
        <v>0</v>
      </c>
      <c r="S103" s="38">
        <f>IF(AG103="1",H103,0)</f>
        <v>0</v>
      </c>
      <c r="T103" s="38">
        <f>IF(AG103="7",G103,0)</f>
        <v>0</v>
      </c>
      <c r="U103" s="38">
        <f>IF(AG103="7",H103,0)</f>
        <v>0</v>
      </c>
      <c r="V103" s="38">
        <f>IF(AG103="2",G103,0)</f>
        <v>0</v>
      </c>
      <c r="W103" s="38">
        <f>IF(AG103="2",H103,0)</f>
        <v>0</v>
      </c>
      <c r="X103" s="38">
        <f>IF(AG103="0",I103,0)</f>
        <v>0</v>
      </c>
      <c r="Y103" s="29"/>
      <c r="Z103" s="19">
        <f>IF(AD103=0,I103,0)</f>
        <v>0</v>
      </c>
      <c r="AA103" s="19">
        <f>IF(AD103=15,I103,0)</f>
        <v>0</v>
      </c>
      <c r="AB103" s="19">
        <f>IF(AD103=21,I103,0)</f>
        <v>0</v>
      </c>
      <c r="AD103" s="38">
        <v>21</v>
      </c>
      <c r="AE103" s="38">
        <f>F103*0.607557603686636</f>
        <v>0</v>
      </c>
      <c r="AF103" s="38">
        <f>F103*(1-0.607557603686636)</f>
        <v>0</v>
      </c>
      <c r="AG103" s="34" t="s">
        <v>6</v>
      </c>
      <c r="AM103" s="38">
        <f>E103*AE103</f>
        <v>0</v>
      </c>
      <c r="AN103" s="38">
        <f>E103*AF103</f>
        <v>0</v>
      </c>
      <c r="AO103" s="39" t="s">
        <v>283</v>
      </c>
      <c r="AP103" s="39" t="s">
        <v>288</v>
      </c>
      <c r="AQ103" s="29" t="s">
        <v>289</v>
      </c>
      <c r="AS103" s="38">
        <f>AM103+AN103</f>
        <v>0</v>
      </c>
      <c r="AT103" s="38">
        <f>F103/(100-AU103)*100</f>
        <v>0</v>
      </c>
      <c r="AU103" s="38">
        <v>0</v>
      </c>
      <c r="AV103" s="38">
        <f>K103</f>
        <v>0</v>
      </c>
    </row>
    <row r="104" spans="3:5" ht="12.75">
      <c r="C104" s="16" t="s">
        <v>207</v>
      </c>
      <c r="E104" s="20">
        <v>120</v>
      </c>
    </row>
    <row r="105" spans="1:48" ht="12.75">
      <c r="A105" s="5" t="s">
        <v>43</v>
      </c>
      <c r="B105" s="5" t="s">
        <v>98</v>
      </c>
      <c r="C105" s="5" t="s">
        <v>208</v>
      </c>
      <c r="D105" s="5" t="s">
        <v>241</v>
      </c>
      <c r="E105" s="19">
        <v>1</v>
      </c>
      <c r="F105" s="19">
        <v>0</v>
      </c>
      <c r="G105" s="19">
        <f>E105*AE105</f>
        <v>0</v>
      </c>
      <c r="H105" s="19">
        <f>I105-G105</f>
        <v>0</v>
      </c>
      <c r="I105" s="19">
        <f>E105*F105</f>
        <v>0</v>
      </c>
      <c r="J105" s="19">
        <v>0.1125</v>
      </c>
      <c r="K105" s="19">
        <f>E105*J105</f>
        <v>0.1125</v>
      </c>
      <c r="L105" s="34" t="s">
        <v>262</v>
      </c>
      <c r="P105" s="38">
        <f>IF(AG105="5",I105,0)</f>
        <v>0</v>
      </c>
      <c r="R105" s="38">
        <f>IF(AG105="1",G105,0)</f>
        <v>0</v>
      </c>
      <c r="S105" s="38">
        <f>IF(AG105="1",H105,0)</f>
        <v>0</v>
      </c>
      <c r="T105" s="38">
        <f>IF(AG105="7",G105,0)</f>
        <v>0</v>
      </c>
      <c r="U105" s="38">
        <f>IF(AG105="7",H105,0)</f>
        <v>0</v>
      </c>
      <c r="V105" s="38">
        <f>IF(AG105="2",G105,0)</f>
        <v>0</v>
      </c>
      <c r="W105" s="38">
        <f>IF(AG105="2",H105,0)</f>
        <v>0</v>
      </c>
      <c r="X105" s="38">
        <f>IF(AG105="0",I105,0)</f>
        <v>0</v>
      </c>
      <c r="Y105" s="29"/>
      <c r="Z105" s="19">
        <f>IF(AD105=0,I105,0)</f>
        <v>0</v>
      </c>
      <c r="AA105" s="19">
        <f>IF(AD105=15,I105,0)</f>
        <v>0</v>
      </c>
      <c r="AB105" s="19">
        <f>IF(AD105=21,I105,0)</f>
        <v>0</v>
      </c>
      <c r="AD105" s="38">
        <v>21</v>
      </c>
      <c r="AE105" s="38">
        <f>F105*0.644306487695749</f>
        <v>0</v>
      </c>
      <c r="AF105" s="38">
        <f>F105*(1-0.644306487695749)</f>
        <v>0</v>
      </c>
      <c r="AG105" s="34" t="s">
        <v>6</v>
      </c>
      <c r="AM105" s="38">
        <f>E105*AE105</f>
        <v>0</v>
      </c>
      <c r="AN105" s="38">
        <f>E105*AF105</f>
        <v>0</v>
      </c>
      <c r="AO105" s="39" t="s">
        <v>283</v>
      </c>
      <c r="AP105" s="39" t="s">
        <v>288</v>
      </c>
      <c r="AQ105" s="29" t="s">
        <v>289</v>
      </c>
      <c r="AS105" s="38">
        <f>AM105+AN105</f>
        <v>0</v>
      </c>
      <c r="AT105" s="38">
        <f>F105/(100-AU105)*100</f>
        <v>0</v>
      </c>
      <c r="AU105" s="38">
        <v>0</v>
      </c>
      <c r="AV105" s="38">
        <f>K105</f>
        <v>0.1125</v>
      </c>
    </row>
    <row r="106" spans="3:5" ht="12.75">
      <c r="C106" s="16" t="s">
        <v>209</v>
      </c>
      <c r="E106" s="20">
        <v>1</v>
      </c>
    </row>
    <row r="107" spans="1:48" ht="12.75">
      <c r="A107" s="5" t="s">
        <v>44</v>
      </c>
      <c r="B107" s="5" t="s">
        <v>99</v>
      </c>
      <c r="C107" s="5" t="s">
        <v>210</v>
      </c>
      <c r="D107" s="5" t="s">
        <v>241</v>
      </c>
      <c r="E107" s="19">
        <v>2</v>
      </c>
      <c r="F107" s="19">
        <v>0</v>
      </c>
      <c r="G107" s="19">
        <f>E107*AE107</f>
        <v>0</v>
      </c>
      <c r="H107" s="19">
        <f>I107-G107</f>
        <v>0</v>
      </c>
      <c r="I107" s="19">
        <f>E107*F107</f>
        <v>0</v>
      </c>
      <c r="J107" s="19">
        <v>0</v>
      </c>
      <c r="K107" s="19">
        <f>E107*J107</f>
        <v>0</v>
      </c>
      <c r="L107" s="34" t="s">
        <v>262</v>
      </c>
      <c r="P107" s="38">
        <f>IF(AG107="5",I107,0)</f>
        <v>0</v>
      </c>
      <c r="R107" s="38">
        <f>IF(AG107="1",G107,0)</f>
        <v>0</v>
      </c>
      <c r="S107" s="38">
        <f>IF(AG107="1",H107,0)</f>
        <v>0</v>
      </c>
      <c r="T107" s="38">
        <f>IF(AG107="7",G107,0)</f>
        <v>0</v>
      </c>
      <c r="U107" s="38">
        <f>IF(AG107="7",H107,0)</f>
        <v>0</v>
      </c>
      <c r="V107" s="38">
        <f>IF(AG107="2",G107,0)</f>
        <v>0</v>
      </c>
      <c r="W107" s="38">
        <f>IF(AG107="2",H107,0)</f>
        <v>0</v>
      </c>
      <c r="X107" s="38">
        <f>IF(AG107="0",I107,0)</f>
        <v>0</v>
      </c>
      <c r="Y107" s="29"/>
      <c r="Z107" s="19">
        <f>IF(AD107=0,I107,0)</f>
        <v>0</v>
      </c>
      <c r="AA107" s="19">
        <f>IF(AD107=15,I107,0)</f>
        <v>0</v>
      </c>
      <c r="AB107" s="19">
        <f>IF(AD107=21,I107,0)</f>
        <v>0</v>
      </c>
      <c r="AD107" s="38">
        <v>21</v>
      </c>
      <c r="AE107" s="38">
        <f>F107*0.622452316076294</f>
        <v>0</v>
      </c>
      <c r="AF107" s="38">
        <f>F107*(1-0.622452316076294)</f>
        <v>0</v>
      </c>
      <c r="AG107" s="34" t="s">
        <v>6</v>
      </c>
      <c r="AM107" s="38">
        <f>E107*AE107</f>
        <v>0</v>
      </c>
      <c r="AN107" s="38">
        <f>E107*AF107</f>
        <v>0</v>
      </c>
      <c r="AO107" s="39" t="s">
        <v>283</v>
      </c>
      <c r="AP107" s="39" t="s">
        <v>288</v>
      </c>
      <c r="AQ107" s="29" t="s">
        <v>289</v>
      </c>
      <c r="AS107" s="38">
        <f>AM107+AN107</f>
        <v>0</v>
      </c>
      <c r="AT107" s="38">
        <f>F107/(100-AU107)*100</f>
        <v>0</v>
      </c>
      <c r="AU107" s="38">
        <v>0</v>
      </c>
      <c r="AV107" s="38">
        <f>K107</f>
        <v>0</v>
      </c>
    </row>
    <row r="108" spans="3:5" ht="12.75">
      <c r="C108" s="16" t="s">
        <v>211</v>
      </c>
      <c r="E108" s="20">
        <v>2</v>
      </c>
    </row>
    <row r="109" spans="1:48" ht="12.75">
      <c r="A109" s="7" t="s">
        <v>45</v>
      </c>
      <c r="B109" s="7" t="s">
        <v>100</v>
      </c>
      <c r="C109" s="7" t="s">
        <v>212</v>
      </c>
      <c r="D109" s="7" t="s">
        <v>241</v>
      </c>
      <c r="E109" s="21">
        <v>1</v>
      </c>
      <c r="F109" s="21">
        <v>0</v>
      </c>
      <c r="G109" s="21">
        <f>E109*AE109</f>
        <v>0</v>
      </c>
      <c r="H109" s="21">
        <f>I109-G109</f>
        <v>0</v>
      </c>
      <c r="I109" s="21">
        <f>E109*F109</f>
        <v>0</v>
      </c>
      <c r="J109" s="21">
        <v>0.0051</v>
      </c>
      <c r="K109" s="21">
        <f>E109*J109</f>
        <v>0.0051</v>
      </c>
      <c r="L109" s="35" t="s">
        <v>262</v>
      </c>
      <c r="P109" s="38">
        <f>IF(AG109="5",I109,0)</f>
        <v>0</v>
      </c>
      <c r="R109" s="38">
        <f>IF(AG109="1",G109,0)</f>
        <v>0</v>
      </c>
      <c r="S109" s="38">
        <f>IF(AG109="1",H109,0)</f>
        <v>0</v>
      </c>
      <c r="T109" s="38">
        <f>IF(AG109="7",G109,0)</f>
        <v>0</v>
      </c>
      <c r="U109" s="38">
        <f>IF(AG109="7",H109,0)</f>
        <v>0</v>
      </c>
      <c r="V109" s="38">
        <f>IF(AG109="2",G109,0)</f>
        <v>0</v>
      </c>
      <c r="W109" s="38">
        <f>IF(AG109="2",H109,0)</f>
        <v>0</v>
      </c>
      <c r="X109" s="38">
        <f>IF(AG109="0",I109,0)</f>
        <v>0</v>
      </c>
      <c r="Y109" s="29"/>
      <c r="Z109" s="21">
        <f>IF(AD109=0,I109,0)</f>
        <v>0</v>
      </c>
      <c r="AA109" s="21">
        <f>IF(AD109=15,I109,0)</f>
        <v>0</v>
      </c>
      <c r="AB109" s="21">
        <f>IF(AD109=21,I109,0)</f>
        <v>0</v>
      </c>
      <c r="AD109" s="38">
        <v>21</v>
      </c>
      <c r="AE109" s="38">
        <f>F109*1</f>
        <v>0</v>
      </c>
      <c r="AF109" s="38">
        <f>F109*(1-1)</f>
        <v>0</v>
      </c>
      <c r="AG109" s="35" t="s">
        <v>6</v>
      </c>
      <c r="AM109" s="38">
        <f>E109*AE109</f>
        <v>0</v>
      </c>
      <c r="AN109" s="38">
        <f>E109*AF109</f>
        <v>0</v>
      </c>
      <c r="AO109" s="39" t="s">
        <v>283</v>
      </c>
      <c r="AP109" s="39" t="s">
        <v>288</v>
      </c>
      <c r="AQ109" s="29" t="s">
        <v>289</v>
      </c>
      <c r="AS109" s="38">
        <f>AM109+AN109</f>
        <v>0</v>
      </c>
      <c r="AT109" s="38">
        <f>F109/(100-AU109)*100</f>
        <v>0</v>
      </c>
      <c r="AU109" s="38">
        <v>0</v>
      </c>
      <c r="AV109" s="38">
        <f>K109</f>
        <v>0.0051</v>
      </c>
    </row>
    <row r="110" spans="1:48" ht="12.75">
      <c r="A110" s="7" t="s">
        <v>46</v>
      </c>
      <c r="B110" s="7" t="s">
        <v>101</v>
      </c>
      <c r="C110" s="7" t="s">
        <v>213</v>
      </c>
      <c r="D110" s="7" t="s">
        <v>241</v>
      </c>
      <c r="E110" s="21">
        <v>1</v>
      </c>
      <c r="F110" s="21">
        <v>0</v>
      </c>
      <c r="G110" s="21">
        <f>E110*AE110</f>
        <v>0</v>
      </c>
      <c r="H110" s="21">
        <f>I110-G110</f>
        <v>0</v>
      </c>
      <c r="I110" s="21">
        <f>E110*F110</f>
        <v>0</v>
      </c>
      <c r="J110" s="21">
        <v>0.0051</v>
      </c>
      <c r="K110" s="21">
        <f>E110*J110</f>
        <v>0.0051</v>
      </c>
      <c r="L110" s="35" t="s">
        <v>262</v>
      </c>
      <c r="P110" s="38">
        <f>IF(AG110="5",I110,0)</f>
        <v>0</v>
      </c>
      <c r="R110" s="38">
        <f>IF(AG110="1",G110,0)</f>
        <v>0</v>
      </c>
      <c r="S110" s="38">
        <f>IF(AG110="1",H110,0)</f>
        <v>0</v>
      </c>
      <c r="T110" s="38">
        <f>IF(AG110="7",G110,0)</f>
        <v>0</v>
      </c>
      <c r="U110" s="38">
        <f>IF(AG110="7",H110,0)</f>
        <v>0</v>
      </c>
      <c r="V110" s="38">
        <f>IF(AG110="2",G110,0)</f>
        <v>0</v>
      </c>
      <c r="W110" s="38">
        <f>IF(AG110="2",H110,0)</f>
        <v>0</v>
      </c>
      <c r="X110" s="38">
        <f>IF(AG110="0",I110,0)</f>
        <v>0</v>
      </c>
      <c r="Y110" s="29"/>
      <c r="Z110" s="21">
        <f>IF(AD110=0,I110,0)</f>
        <v>0</v>
      </c>
      <c r="AA110" s="21">
        <f>IF(AD110=15,I110,0)</f>
        <v>0</v>
      </c>
      <c r="AB110" s="21">
        <f>IF(AD110=21,I110,0)</f>
        <v>0</v>
      </c>
      <c r="AD110" s="38">
        <v>21</v>
      </c>
      <c r="AE110" s="38">
        <f>F110*1</f>
        <v>0</v>
      </c>
      <c r="AF110" s="38">
        <f>F110*(1-1)</f>
        <v>0</v>
      </c>
      <c r="AG110" s="35" t="s">
        <v>6</v>
      </c>
      <c r="AM110" s="38">
        <f>E110*AE110</f>
        <v>0</v>
      </c>
      <c r="AN110" s="38">
        <f>E110*AF110</f>
        <v>0</v>
      </c>
      <c r="AO110" s="39" t="s">
        <v>283</v>
      </c>
      <c r="AP110" s="39" t="s">
        <v>288</v>
      </c>
      <c r="AQ110" s="29" t="s">
        <v>289</v>
      </c>
      <c r="AS110" s="38">
        <f>AM110+AN110</f>
        <v>0</v>
      </c>
      <c r="AT110" s="38">
        <f>F110/(100-AU110)*100</f>
        <v>0</v>
      </c>
      <c r="AU110" s="38">
        <v>0</v>
      </c>
      <c r="AV110" s="38">
        <f>K110</f>
        <v>0.0051</v>
      </c>
    </row>
    <row r="111" spans="1:48" ht="12.75">
      <c r="A111" s="5" t="s">
        <v>47</v>
      </c>
      <c r="B111" s="5" t="s">
        <v>102</v>
      </c>
      <c r="C111" s="5" t="s">
        <v>214</v>
      </c>
      <c r="D111" s="5" t="s">
        <v>238</v>
      </c>
      <c r="E111" s="19">
        <v>1</v>
      </c>
      <c r="F111" s="19">
        <v>0</v>
      </c>
      <c r="G111" s="19">
        <f>E111*AE111</f>
        <v>0</v>
      </c>
      <c r="H111" s="19">
        <f>I111-G111</f>
        <v>0</v>
      </c>
      <c r="I111" s="19">
        <f>E111*F111</f>
        <v>0</v>
      </c>
      <c r="J111" s="19">
        <v>0.00076</v>
      </c>
      <c r="K111" s="19">
        <f>E111*J111</f>
        <v>0.00076</v>
      </c>
      <c r="L111" s="34" t="s">
        <v>262</v>
      </c>
      <c r="P111" s="38">
        <f>IF(AG111="5",I111,0)</f>
        <v>0</v>
      </c>
      <c r="R111" s="38">
        <f>IF(AG111="1",G111,0)</f>
        <v>0</v>
      </c>
      <c r="S111" s="38">
        <f>IF(AG111="1",H111,0)</f>
        <v>0</v>
      </c>
      <c r="T111" s="38">
        <f>IF(AG111="7",G111,0)</f>
        <v>0</v>
      </c>
      <c r="U111" s="38">
        <f>IF(AG111="7",H111,0)</f>
        <v>0</v>
      </c>
      <c r="V111" s="38">
        <f>IF(AG111="2",G111,0)</f>
        <v>0</v>
      </c>
      <c r="W111" s="38">
        <f>IF(AG111="2",H111,0)</f>
        <v>0</v>
      </c>
      <c r="X111" s="38">
        <f>IF(AG111="0",I111,0)</f>
        <v>0</v>
      </c>
      <c r="Y111" s="29"/>
      <c r="Z111" s="19">
        <f>IF(AD111=0,I111,0)</f>
        <v>0</v>
      </c>
      <c r="AA111" s="19">
        <f>IF(AD111=15,I111,0)</f>
        <v>0</v>
      </c>
      <c r="AB111" s="19">
        <f>IF(AD111=21,I111,0)</f>
        <v>0</v>
      </c>
      <c r="AD111" s="38">
        <v>21</v>
      </c>
      <c r="AE111" s="38">
        <f>F111*0.391073094867807</f>
        <v>0</v>
      </c>
      <c r="AF111" s="38">
        <f>F111*(1-0.391073094867807)</f>
        <v>0</v>
      </c>
      <c r="AG111" s="34" t="s">
        <v>6</v>
      </c>
      <c r="AM111" s="38">
        <f>E111*AE111</f>
        <v>0</v>
      </c>
      <c r="AN111" s="38">
        <f>E111*AF111</f>
        <v>0</v>
      </c>
      <c r="AO111" s="39" t="s">
        <v>283</v>
      </c>
      <c r="AP111" s="39" t="s">
        <v>288</v>
      </c>
      <c r="AQ111" s="29" t="s">
        <v>289</v>
      </c>
      <c r="AS111" s="38">
        <f>AM111+AN111</f>
        <v>0</v>
      </c>
      <c r="AT111" s="38">
        <f>F111/(100-AU111)*100</f>
        <v>0</v>
      </c>
      <c r="AU111" s="38">
        <v>0</v>
      </c>
      <c r="AV111" s="38">
        <f>K111</f>
        <v>0.00076</v>
      </c>
    </row>
    <row r="112" spans="3:5" ht="12.75">
      <c r="C112" s="16" t="s">
        <v>215</v>
      </c>
      <c r="E112" s="20">
        <v>1</v>
      </c>
    </row>
    <row r="113" spans="1:37" ht="12.75">
      <c r="A113" s="6"/>
      <c r="B113" s="14" t="s">
        <v>103</v>
      </c>
      <c r="C113" s="14" t="s">
        <v>216</v>
      </c>
      <c r="D113" s="6" t="s">
        <v>5</v>
      </c>
      <c r="E113" s="6" t="s">
        <v>5</v>
      </c>
      <c r="F113" s="6" t="s">
        <v>5</v>
      </c>
      <c r="G113" s="41">
        <f>SUM(G114:G114)</f>
        <v>0</v>
      </c>
      <c r="H113" s="41">
        <f>SUM(H114:H114)</f>
        <v>0</v>
      </c>
      <c r="I113" s="41">
        <f>G113+H113</f>
        <v>0</v>
      </c>
      <c r="J113" s="29"/>
      <c r="K113" s="41">
        <f>SUM(K114:K114)</f>
        <v>0</v>
      </c>
      <c r="L113" s="29"/>
      <c r="Y113" s="29"/>
      <c r="AI113" s="41">
        <f>SUM(Z114:Z114)</f>
        <v>0</v>
      </c>
      <c r="AJ113" s="41">
        <f>SUM(AA114:AA114)</f>
        <v>0</v>
      </c>
      <c r="AK113" s="41">
        <f>SUM(AB114:AB114)</f>
        <v>0</v>
      </c>
    </row>
    <row r="114" spans="1:48" ht="12.75">
      <c r="A114" s="5" t="s">
        <v>48</v>
      </c>
      <c r="B114" s="5" t="s">
        <v>104</v>
      </c>
      <c r="C114" s="5" t="s">
        <v>217</v>
      </c>
      <c r="D114" s="5" t="s">
        <v>238</v>
      </c>
      <c r="E114" s="19">
        <v>14</v>
      </c>
      <c r="F114" s="19">
        <v>0</v>
      </c>
      <c r="G114" s="19">
        <f>E114*AE114</f>
        <v>0</v>
      </c>
      <c r="H114" s="19">
        <f>I114-G114</f>
        <v>0</v>
      </c>
      <c r="I114" s="19">
        <f>E114*F114</f>
        <v>0</v>
      </c>
      <c r="J114" s="19">
        <v>0</v>
      </c>
      <c r="K114" s="19">
        <f>E114*J114</f>
        <v>0</v>
      </c>
      <c r="L114" s="34" t="s">
        <v>262</v>
      </c>
      <c r="P114" s="38">
        <f>IF(AG114="5",I114,0)</f>
        <v>0</v>
      </c>
      <c r="R114" s="38">
        <f>IF(AG114="1",G114,0)</f>
        <v>0</v>
      </c>
      <c r="S114" s="38">
        <f>IF(AG114="1",H114,0)</f>
        <v>0</v>
      </c>
      <c r="T114" s="38">
        <f>IF(AG114="7",G114,0)</f>
        <v>0</v>
      </c>
      <c r="U114" s="38">
        <f>IF(AG114="7",H114,0)</f>
        <v>0</v>
      </c>
      <c r="V114" s="38">
        <f>IF(AG114="2",G114,0)</f>
        <v>0</v>
      </c>
      <c r="W114" s="38">
        <f>IF(AG114="2",H114,0)</f>
        <v>0</v>
      </c>
      <c r="X114" s="38">
        <f>IF(AG114="0",I114,0)</f>
        <v>0</v>
      </c>
      <c r="Y114" s="29"/>
      <c r="Z114" s="19">
        <f>IF(AD114=0,I114,0)</f>
        <v>0</v>
      </c>
      <c r="AA114" s="19">
        <f>IF(AD114=15,I114,0)</f>
        <v>0</v>
      </c>
      <c r="AB114" s="19">
        <f>IF(AD114=21,I114,0)</f>
        <v>0</v>
      </c>
      <c r="AD114" s="38">
        <v>21</v>
      </c>
      <c r="AE114" s="38">
        <f>F114*0</f>
        <v>0</v>
      </c>
      <c r="AF114" s="38">
        <f>F114*(1-0)</f>
        <v>0</v>
      </c>
      <c r="AG114" s="34" t="s">
        <v>6</v>
      </c>
      <c r="AM114" s="38">
        <f>E114*AE114</f>
        <v>0</v>
      </c>
      <c r="AN114" s="38">
        <f>E114*AF114</f>
        <v>0</v>
      </c>
      <c r="AO114" s="39" t="s">
        <v>284</v>
      </c>
      <c r="AP114" s="39" t="s">
        <v>288</v>
      </c>
      <c r="AQ114" s="29" t="s">
        <v>289</v>
      </c>
      <c r="AS114" s="38">
        <f>AM114+AN114</f>
        <v>0</v>
      </c>
      <c r="AT114" s="38">
        <f>F114/(100-AU114)*100</f>
        <v>0</v>
      </c>
      <c r="AU114" s="38">
        <v>0</v>
      </c>
      <c r="AV114" s="38">
        <f>K114</f>
        <v>0</v>
      </c>
    </row>
    <row r="115" spans="1:37" ht="12.75">
      <c r="A115" s="6"/>
      <c r="B115" s="14" t="s">
        <v>105</v>
      </c>
      <c r="C115" s="14" t="s">
        <v>218</v>
      </c>
      <c r="D115" s="6" t="s">
        <v>5</v>
      </c>
      <c r="E115" s="6" t="s">
        <v>5</v>
      </c>
      <c r="F115" s="6" t="s">
        <v>5</v>
      </c>
      <c r="G115" s="41">
        <f>SUM(G116:G129)</f>
        <v>0</v>
      </c>
      <c r="H115" s="41">
        <f>SUM(H116:H129)</f>
        <v>0</v>
      </c>
      <c r="I115" s="41">
        <f>G115+H115</f>
        <v>0</v>
      </c>
      <c r="J115" s="29"/>
      <c r="K115" s="41">
        <f>SUM(K116:K129)</f>
        <v>0</v>
      </c>
      <c r="L115" s="29"/>
      <c r="Y115" s="29"/>
      <c r="AI115" s="41">
        <f>SUM(Z116:Z129)</f>
        <v>0</v>
      </c>
      <c r="AJ115" s="41">
        <f>SUM(AA116:AA129)</f>
        <v>0</v>
      </c>
      <c r="AK115" s="41">
        <f>SUM(AB116:AB129)</f>
        <v>0</v>
      </c>
    </row>
    <row r="116" spans="1:48" ht="12.75">
      <c r="A116" s="5" t="s">
        <v>49</v>
      </c>
      <c r="B116" s="5" t="s">
        <v>106</v>
      </c>
      <c r="C116" s="5" t="s">
        <v>219</v>
      </c>
      <c r="D116" s="5" t="s">
        <v>242</v>
      </c>
      <c r="E116" s="19">
        <v>41.481</v>
      </c>
      <c r="F116" s="19">
        <v>0</v>
      </c>
      <c r="G116" s="19">
        <f>E116*AE116</f>
        <v>0</v>
      </c>
      <c r="H116" s="19">
        <f>I116-G116</f>
        <v>0</v>
      </c>
      <c r="I116" s="19">
        <f>E116*F116</f>
        <v>0</v>
      </c>
      <c r="J116" s="19">
        <v>0</v>
      </c>
      <c r="K116" s="19">
        <f>E116*J116</f>
        <v>0</v>
      </c>
      <c r="L116" s="34" t="s">
        <v>262</v>
      </c>
      <c r="P116" s="38">
        <f>IF(AG116="5",I116,0)</f>
        <v>0</v>
      </c>
      <c r="R116" s="38">
        <f>IF(AG116="1",G116,0)</f>
        <v>0</v>
      </c>
      <c r="S116" s="38">
        <f>IF(AG116="1",H116,0)</f>
        <v>0</v>
      </c>
      <c r="T116" s="38">
        <f>IF(AG116="7",G116,0)</f>
        <v>0</v>
      </c>
      <c r="U116" s="38">
        <f>IF(AG116="7",H116,0)</f>
        <v>0</v>
      </c>
      <c r="V116" s="38">
        <f>IF(AG116="2",G116,0)</f>
        <v>0</v>
      </c>
      <c r="W116" s="38">
        <f>IF(AG116="2",H116,0)</f>
        <v>0</v>
      </c>
      <c r="X116" s="38">
        <f>IF(AG116="0",I116,0)</f>
        <v>0</v>
      </c>
      <c r="Y116" s="29"/>
      <c r="Z116" s="19">
        <f>IF(AD116=0,I116,0)</f>
        <v>0</v>
      </c>
      <c r="AA116" s="19">
        <f>IF(AD116=15,I116,0)</f>
        <v>0</v>
      </c>
      <c r="AB116" s="19">
        <f>IF(AD116=21,I116,0)</f>
        <v>0</v>
      </c>
      <c r="AD116" s="38">
        <v>21</v>
      </c>
      <c r="AE116" s="38">
        <f>F116*0</f>
        <v>0</v>
      </c>
      <c r="AF116" s="38">
        <f>F116*(1-0)</f>
        <v>0</v>
      </c>
      <c r="AG116" s="34" t="s">
        <v>10</v>
      </c>
      <c r="AM116" s="38">
        <f>E116*AE116</f>
        <v>0</v>
      </c>
      <c r="AN116" s="38">
        <f>E116*AF116</f>
        <v>0</v>
      </c>
      <c r="AO116" s="39" t="s">
        <v>285</v>
      </c>
      <c r="AP116" s="39" t="s">
        <v>288</v>
      </c>
      <c r="AQ116" s="29" t="s">
        <v>289</v>
      </c>
      <c r="AS116" s="38">
        <f>AM116+AN116</f>
        <v>0</v>
      </c>
      <c r="AT116" s="38">
        <f>F116/(100-AU116)*100</f>
        <v>0</v>
      </c>
      <c r="AU116" s="38">
        <v>0</v>
      </c>
      <c r="AV116" s="38">
        <f>K116</f>
        <v>0</v>
      </c>
    </row>
    <row r="117" spans="3:5" ht="12.75">
      <c r="C117" s="16" t="s">
        <v>220</v>
      </c>
      <c r="E117" s="20">
        <v>11.484</v>
      </c>
    </row>
    <row r="118" spans="3:5" ht="12.75">
      <c r="C118" s="16" t="s">
        <v>221</v>
      </c>
      <c r="E118" s="20">
        <v>29.997</v>
      </c>
    </row>
    <row r="119" spans="1:48" ht="12.75">
      <c r="A119" s="5" t="s">
        <v>50</v>
      </c>
      <c r="B119" s="5" t="s">
        <v>107</v>
      </c>
      <c r="C119" s="5" t="s">
        <v>222</v>
      </c>
      <c r="D119" s="5" t="s">
        <v>242</v>
      </c>
      <c r="E119" s="19">
        <v>373.329</v>
      </c>
      <c r="F119" s="19">
        <v>0</v>
      </c>
      <c r="G119" s="19">
        <f>E119*AE119</f>
        <v>0</v>
      </c>
      <c r="H119" s="19">
        <f>I119-G119</f>
        <v>0</v>
      </c>
      <c r="I119" s="19">
        <f>E119*F119</f>
        <v>0</v>
      </c>
      <c r="J119" s="19">
        <v>0</v>
      </c>
      <c r="K119" s="19">
        <f>E119*J119</f>
        <v>0</v>
      </c>
      <c r="L119" s="34" t="s">
        <v>262</v>
      </c>
      <c r="P119" s="38">
        <f>IF(AG119="5",I119,0)</f>
        <v>0</v>
      </c>
      <c r="R119" s="38">
        <f>IF(AG119="1",G119,0)</f>
        <v>0</v>
      </c>
      <c r="S119" s="38">
        <f>IF(AG119="1",H119,0)</f>
        <v>0</v>
      </c>
      <c r="T119" s="38">
        <f>IF(AG119="7",G119,0)</f>
        <v>0</v>
      </c>
      <c r="U119" s="38">
        <f>IF(AG119="7",H119,0)</f>
        <v>0</v>
      </c>
      <c r="V119" s="38">
        <f>IF(AG119="2",G119,0)</f>
        <v>0</v>
      </c>
      <c r="W119" s="38">
        <f>IF(AG119="2",H119,0)</f>
        <v>0</v>
      </c>
      <c r="X119" s="38">
        <f>IF(AG119="0",I119,0)</f>
        <v>0</v>
      </c>
      <c r="Y119" s="29"/>
      <c r="Z119" s="19">
        <f>IF(AD119=0,I119,0)</f>
        <v>0</v>
      </c>
      <c r="AA119" s="19">
        <f>IF(AD119=15,I119,0)</f>
        <v>0</v>
      </c>
      <c r="AB119" s="19">
        <f>IF(AD119=21,I119,0)</f>
        <v>0</v>
      </c>
      <c r="AD119" s="38">
        <v>21</v>
      </c>
      <c r="AE119" s="38">
        <f>F119*0</f>
        <v>0</v>
      </c>
      <c r="AF119" s="38">
        <f>F119*(1-0)</f>
        <v>0</v>
      </c>
      <c r="AG119" s="34" t="s">
        <v>10</v>
      </c>
      <c r="AM119" s="38">
        <f>E119*AE119</f>
        <v>0</v>
      </c>
      <c r="AN119" s="38">
        <f>E119*AF119</f>
        <v>0</v>
      </c>
      <c r="AO119" s="39" t="s">
        <v>285</v>
      </c>
      <c r="AP119" s="39" t="s">
        <v>288</v>
      </c>
      <c r="AQ119" s="29" t="s">
        <v>289</v>
      </c>
      <c r="AS119" s="38">
        <f>AM119+AN119</f>
        <v>0</v>
      </c>
      <c r="AT119" s="38">
        <f>F119/(100-AU119)*100</f>
        <v>0</v>
      </c>
      <c r="AU119" s="38">
        <v>0</v>
      </c>
      <c r="AV119" s="38">
        <f>K119</f>
        <v>0</v>
      </c>
    </row>
    <row r="120" spans="3:5" ht="12.75">
      <c r="C120" s="16" t="s">
        <v>223</v>
      </c>
      <c r="E120" s="20">
        <v>373.329</v>
      </c>
    </row>
    <row r="121" spans="1:48" ht="12.75">
      <c r="A121" s="5" t="s">
        <v>51</v>
      </c>
      <c r="B121" s="5" t="s">
        <v>108</v>
      </c>
      <c r="C121" s="5" t="s">
        <v>224</v>
      </c>
      <c r="D121" s="5" t="s">
        <v>242</v>
      </c>
      <c r="E121" s="19">
        <v>23.349</v>
      </c>
      <c r="F121" s="19">
        <v>0</v>
      </c>
      <c r="G121" s="19">
        <f>E121*AE121</f>
        <v>0</v>
      </c>
      <c r="H121" s="19">
        <f>I121-G121</f>
        <v>0</v>
      </c>
      <c r="I121" s="19">
        <f>E121*F121</f>
        <v>0</v>
      </c>
      <c r="J121" s="19">
        <v>0</v>
      </c>
      <c r="K121" s="19">
        <f>E121*J121</f>
        <v>0</v>
      </c>
      <c r="L121" s="34" t="s">
        <v>262</v>
      </c>
      <c r="P121" s="38">
        <f>IF(AG121="5",I121,0)</f>
        <v>0</v>
      </c>
      <c r="R121" s="38">
        <f>IF(AG121="1",G121,0)</f>
        <v>0</v>
      </c>
      <c r="S121" s="38">
        <f>IF(AG121="1",H121,0)</f>
        <v>0</v>
      </c>
      <c r="T121" s="38">
        <f>IF(AG121="7",G121,0)</f>
        <v>0</v>
      </c>
      <c r="U121" s="38">
        <f>IF(AG121="7",H121,0)</f>
        <v>0</v>
      </c>
      <c r="V121" s="38">
        <f>IF(AG121="2",G121,0)</f>
        <v>0</v>
      </c>
      <c r="W121" s="38">
        <f>IF(AG121="2",H121,0)</f>
        <v>0</v>
      </c>
      <c r="X121" s="38">
        <f>IF(AG121="0",I121,0)</f>
        <v>0</v>
      </c>
      <c r="Y121" s="29"/>
      <c r="Z121" s="19">
        <f>IF(AD121=0,I121,0)</f>
        <v>0</v>
      </c>
      <c r="AA121" s="19">
        <f>IF(AD121=15,I121,0)</f>
        <v>0</v>
      </c>
      <c r="AB121" s="19">
        <f>IF(AD121=21,I121,0)</f>
        <v>0</v>
      </c>
      <c r="AD121" s="38">
        <v>21</v>
      </c>
      <c r="AE121" s="38">
        <f>F121*0</f>
        <v>0</v>
      </c>
      <c r="AF121" s="38">
        <f>F121*(1-0)</f>
        <v>0</v>
      </c>
      <c r="AG121" s="34" t="s">
        <v>10</v>
      </c>
      <c r="AM121" s="38">
        <f>E121*AE121</f>
        <v>0</v>
      </c>
      <c r="AN121" s="38">
        <f>E121*AF121</f>
        <v>0</v>
      </c>
      <c r="AO121" s="39" t="s">
        <v>285</v>
      </c>
      <c r="AP121" s="39" t="s">
        <v>288</v>
      </c>
      <c r="AQ121" s="29" t="s">
        <v>289</v>
      </c>
      <c r="AS121" s="38">
        <f>AM121+AN121</f>
        <v>0</v>
      </c>
      <c r="AT121" s="38">
        <f>F121/(100-AU121)*100</f>
        <v>0</v>
      </c>
      <c r="AU121" s="38">
        <v>0</v>
      </c>
      <c r="AV121" s="38">
        <f>K121</f>
        <v>0</v>
      </c>
    </row>
    <row r="122" spans="3:5" ht="12.75">
      <c r="C122" s="16" t="s">
        <v>225</v>
      </c>
      <c r="E122" s="20">
        <v>19.14</v>
      </c>
    </row>
    <row r="123" spans="3:5" ht="12.75">
      <c r="C123" s="16" t="s">
        <v>226</v>
      </c>
      <c r="E123" s="20">
        <v>4.209</v>
      </c>
    </row>
    <row r="124" spans="1:48" ht="12.75">
      <c r="A124" s="5" t="s">
        <v>52</v>
      </c>
      <c r="B124" s="5" t="s">
        <v>109</v>
      </c>
      <c r="C124" s="5" t="s">
        <v>227</v>
      </c>
      <c r="D124" s="5" t="s">
        <v>242</v>
      </c>
      <c r="E124" s="19">
        <v>23.349</v>
      </c>
      <c r="F124" s="19">
        <v>0</v>
      </c>
      <c r="G124" s="19">
        <f>E124*AE124</f>
        <v>0</v>
      </c>
      <c r="H124" s="19">
        <f>I124-G124</f>
        <v>0</v>
      </c>
      <c r="I124" s="19">
        <f>E124*F124</f>
        <v>0</v>
      </c>
      <c r="J124" s="19">
        <v>0</v>
      </c>
      <c r="K124" s="19">
        <f>E124*J124</f>
        <v>0</v>
      </c>
      <c r="L124" s="34" t="s">
        <v>262</v>
      </c>
      <c r="P124" s="38">
        <f>IF(AG124="5",I124,0)</f>
        <v>0</v>
      </c>
      <c r="R124" s="38">
        <f>IF(AG124="1",G124,0)</f>
        <v>0</v>
      </c>
      <c r="S124" s="38">
        <f>IF(AG124="1",H124,0)</f>
        <v>0</v>
      </c>
      <c r="T124" s="38">
        <f>IF(AG124="7",G124,0)</f>
        <v>0</v>
      </c>
      <c r="U124" s="38">
        <f>IF(AG124="7",H124,0)</f>
        <v>0</v>
      </c>
      <c r="V124" s="38">
        <f>IF(AG124="2",G124,0)</f>
        <v>0</v>
      </c>
      <c r="W124" s="38">
        <f>IF(AG124="2",H124,0)</f>
        <v>0</v>
      </c>
      <c r="X124" s="38">
        <f>IF(AG124="0",I124,0)</f>
        <v>0</v>
      </c>
      <c r="Y124" s="29"/>
      <c r="Z124" s="19">
        <f>IF(AD124=0,I124,0)</f>
        <v>0</v>
      </c>
      <c r="AA124" s="19">
        <f>IF(AD124=15,I124,0)</f>
        <v>0</v>
      </c>
      <c r="AB124" s="19">
        <f>IF(AD124=21,I124,0)</f>
        <v>0</v>
      </c>
      <c r="AD124" s="38">
        <v>21</v>
      </c>
      <c r="AE124" s="38">
        <f>F124*0</f>
        <v>0</v>
      </c>
      <c r="AF124" s="38">
        <f>F124*(1-0)</f>
        <v>0</v>
      </c>
      <c r="AG124" s="34" t="s">
        <v>10</v>
      </c>
      <c r="AM124" s="38">
        <f>E124*AE124</f>
        <v>0</v>
      </c>
      <c r="AN124" s="38">
        <f>E124*AF124</f>
        <v>0</v>
      </c>
      <c r="AO124" s="39" t="s">
        <v>285</v>
      </c>
      <c r="AP124" s="39" t="s">
        <v>288</v>
      </c>
      <c r="AQ124" s="29" t="s">
        <v>289</v>
      </c>
      <c r="AS124" s="38">
        <f>AM124+AN124</f>
        <v>0</v>
      </c>
      <c r="AT124" s="38">
        <f>F124/(100-AU124)*100</f>
        <v>0</v>
      </c>
      <c r="AU124" s="38">
        <v>0</v>
      </c>
      <c r="AV124" s="38">
        <f>K124</f>
        <v>0</v>
      </c>
    </row>
    <row r="125" spans="1:48" ht="12.75">
      <c r="A125" s="5" t="s">
        <v>53</v>
      </c>
      <c r="B125" s="5" t="s">
        <v>110</v>
      </c>
      <c r="C125" s="5" t="s">
        <v>228</v>
      </c>
      <c r="D125" s="5" t="s">
        <v>242</v>
      </c>
      <c r="E125" s="19">
        <v>53.346</v>
      </c>
      <c r="F125" s="19">
        <v>0</v>
      </c>
      <c r="G125" s="19">
        <f>E125*AE125</f>
        <v>0</v>
      </c>
      <c r="H125" s="19">
        <f>I125-G125</f>
        <v>0</v>
      </c>
      <c r="I125" s="19">
        <f>E125*F125</f>
        <v>0</v>
      </c>
      <c r="J125" s="19">
        <v>0</v>
      </c>
      <c r="K125" s="19">
        <f>E125*J125</f>
        <v>0</v>
      </c>
      <c r="L125" s="34" t="s">
        <v>264</v>
      </c>
      <c r="P125" s="38">
        <f>IF(AG125="5",I125,0)</f>
        <v>0</v>
      </c>
      <c r="R125" s="38">
        <f>IF(AG125="1",G125,0)</f>
        <v>0</v>
      </c>
      <c r="S125" s="38">
        <f>IF(AG125="1",H125,0)</f>
        <v>0</v>
      </c>
      <c r="T125" s="38">
        <f>IF(AG125="7",G125,0)</f>
        <v>0</v>
      </c>
      <c r="U125" s="38">
        <f>IF(AG125="7",H125,0)</f>
        <v>0</v>
      </c>
      <c r="V125" s="38">
        <f>IF(AG125="2",G125,0)</f>
        <v>0</v>
      </c>
      <c r="W125" s="38">
        <f>IF(AG125="2",H125,0)</f>
        <v>0</v>
      </c>
      <c r="X125" s="38">
        <f>IF(AG125="0",I125,0)</f>
        <v>0</v>
      </c>
      <c r="Y125" s="29"/>
      <c r="Z125" s="19">
        <f>IF(AD125=0,I125,0)</f>
        <v>0</v>
      </c>
      <c r="AA125" s="19">
        <f>IF(AD125=15,I125,0)</f>
        <v>0</v>
      </c>
      <c r="AB125" s="19">
        <f>IF(AD125=21,I125,0)</f>
        <v>0</v>
      </c>
      <c r="AD125" s="38">
        <v>21</v>
      </c>
      <c r="AE125" s="38">
        <f>F125*0</f>
        <v>0</v>
      </c>
      <c r="AF125" s="38">
        <f>F125*(1-0)</f>
        <v>0</v>
      </c>
      <c r="AG125" s="34" t="s">
        <v>10</v>
      </c>
      <c r="AM125" s="38">
        <f>E125*AE125</f>
        <v>0</v>
      </c>
      <c r="AN125" s="38">
        <f>E125*AF125</f>
        <v>0</v>
      </c>
      <c r="AO125" s="39" t="s">
        <v>285</v>
      </c>
      <c r="AP125" s="39" t="s">
        <v>288</v>
      </c>
      <c r="AQ125" s="29" t="s">
        <v>289</v>
      </c>
      <c r="AS125" s="38">
        <f>AM125+AN125</f>
        <v>0</v>
      </c>
      <c r="AT125" s="38">
        <f>F125/(100-AU125)*100</f>
        <v>0</v>
      </c>
      <c r="AU125" s="38">
        <v>0</v>
      </c>
      <c r="AV125" s="38">
        <f>K125</f>
        <v>0</v>
      </c>
    </row>
    <row r="126" spans="3:5" ht="12.75">
      <c r="C126" s="16" t="s">
        <v>229</v>
      </c>
      <c r="E126" s="20">
        <v>53.346</v>
      </c>
    </row>
    <row r="127" spans="1:48" ht="12.75">
      <c r="A127" s="5" t="s">
        <v>54</v>
      </c>
      <c r="B127" s="5" t="s">
        <v>111</v>
      </c>
      <c r="C127" s="5" t="s">
        <v>230</v>
      </c>
      <c r="D127" s="5" t="s">
        <v>242</v>
      </c>
      <c r="E127" s="19">
        <v>11.484</v>
      </c>
      <c r="F127" s="19">
        <v>0</v>
      </c>
      <c r="G127" s="19">
        <f>E127*AE127</f>
        <v>0</v>
      </c>
      <c r="H127" s="19">
        <f>I127-G127</f>
        <v>0</v>
      </c>
      <c r="I127" s="19">
        <f>E127*F127</f>
        <v>0</v>
      </c>
      <c r="J127" s="19">
        <v>0</v>
      </c>
      <c r="K127" s="19">
        <f>E127*J127</f>
        <v>0</v>
      </c>
      <c r="L127" s="34" t="s">
        <v>262</v>
      </c>
      <c r="P127" s="38">
        <f>IF(AG127="5",I127,0)</f>
        <v>0</v>
      </c>
      <c r="R127" s="38">
        <f>IF(AG127="1",G127,0)</f>
        <v>0</v>
      </c>
      <c r="S127" s="38">
        <f>IF(AG127="1",H127,0)</f>
        <v>0</v>
      </c>
      <c r="T127" s="38">
        <f>IF(AG127="7",G127,0)</f>
        <v>0</v>
      </c>
      <c r="U127" s="38">
        <f>IF(AG127="7",H127,0)</f>
        <v>0</v>
      </c>
      <c r="V127" s="38">
        <f>IF(AG127="2",G127,0)</f>
        <v>0</v>
      </c>
      <c r="W127" s="38">
        <f>IF(AG127="2",H127,0)</f>
        <v>0</v>
      </c>
      <c r="X127" s="38">
        <f>IF(AG127="0",I127,0)</f>
        <v>0</v>
      </c>
      <c r="Y127" s="29"/>
      <c r="Z127" s="19">
        <f>IF(AD127=0,I127,0)</f>
        <v>0</v>
      </c>
      <c r="AA127" s="19">
        <f>IF(AD127=15,I127,0)</f>
        <v>0</v>
      </c>
      <c r="AB127" s="19">
        <f>IF(AD127=21,I127,0)</f>
        <v>0</v>
      </c>
      <c r="AD127" s="38">
        <v>21</v>
      </c>
      <c r="AE127" s="38">
        <f>F127*0</f>
        <v>0</v>
      </c>
      <c r="AF127" s="38">
        <f>F127*(1-0)</f>
        <v>0</v>
      </c>
      <c r="AG127" s="34" t="s">
        <v>10</v>
      </c>
      <c r="AM127" s="38">
        <f>E127*AE127</f>
        <v>0</v>
      </c>
      <c r="AN127" s="38">
        <f>E127*AF127</f>
        <v>0</v>
      </c>
      <c r="AO127" s="39" t="s">
        <v>285</v>
      </c>
      <c r="AP127" s="39" t="s">
        <v>288</v>
      </c>
      <c r="AQ127" s="29" t="s">
        <v>289</v>
      </c>
      <c r="AS127" s="38">
        <f>AM127+AN127</f>
        <v>0</v>
      </c>
      <c r="AT127" s="38">
        <f>F127/(100-AU127)*100</f>
        <v>0</v>
      </c>
      <c r="AU127" s="38">
        <v>0</v>
      </c>
      <c r="AV127" s="38">
        <f>K127</f>
        <v>0</v>
      </c>
    </row>
    <row r="128" spans="3:5" ht="12.75">
      <c r="C128" s="16" t="s">
        <v>231</v>
      </c>
      <c r="E128" s="20">
        <v>11.484</v>
      </c>
    </row>
    <row r="129" spans="1:48" ht="12.75">
      <c r="A129" s="8" t="s">
        <v>55</v>
      </c>
      <c r="B129" s="8" t="s">
        <v>112</v>
      </c>
      <c r="C129" s="8" t="s">
        <v>232</v>
      </c>
      <c r="D129" s="8" t="s">
        <v>242</v>
      </c>
      <c r="E129" s="22">
        <v>106.11981</v>
      </c>
      <c r="F129" s="22">
        <v>0</v>
      </c>
      <c r="G129" s="22">
        <f>E129*AE129</f>
        <v>0</v>
      </c>
      <c r="H129" s="22">
        <f>I129-G129</f>
        <v>0</v>
      </c>
      <c r="I129" s="22">
        <f>E129*F129</f>
        <v>0</v>
      </c>
      <c r="J129" s="22">
        <v>0</v>
      </c>
      <c r="K129" s="22">
        <f>E129*J129</f>
        <v>0</v>
      </c>
      <c r="L129" s="36" t="s">
        <v>262</v>
      </c>
      <c r="P129" s="38">
        <f>IF(AG129="5",I129,0)</f>
        <v>0</v>
      </c>
      <c r="R129" s="38">
        <f>IF(AG129="1",G129,0)</f>
        <v>0</v>
      </c>
      <c r="S129" s="38">
        <f>IF(AG129="1",H129,0)</f>
        <v>0</v>
      </c>
      <c r="T129" s="38">
        <f>IF(AG129="7",G129,0)</f>
        <v>0</v>
      </c>
      <c r="U129" s="38">
        <f>IF(AG129="7",H129,0)</f>
        <v>0</v>
      </c>
      <c r="V129" s="38">
        <f>IF(AG129="2",G129,0)</f>
        <v>0</v>
      </c>
      <c r="W129" s="38">
        <f>IF(AG129="2",H129,0)</f>
        <v>0</v>
      </c>
      <c r="X129" s="38">
        <f>IF(AG129="0",I129,0)</f>
        <v>0</v>
      </c>
      <c r="Y129" s="29"/>
      <c r="Z129" s="19">
        <f>IF(AD129=0,I129,0)</f>
        <v>0</v>
      </c>
      <c r="AA129" s="19">
        <f>IF(AD129=15,I129,0)</f>
        <v>0</v>
      </c>
      <c r="AB129" s="19">
        <f>IF(AD129=21,I129,0)</f>
        <v>0</v>
      </c>
      <c r="AD129" s="38">
        <v>21</v>
      </c>
      <c r="AE129" s="38">
        <f>F129*0</f>
        <v>0</v>
      </c>
      <c r="AF129" s="38">
        <f>F129*(1-0)</f>
        <v>0</v>
      </c>
      <c r="AG129" s="34" t="s">
        <v>10</v>
      </c>
      <c r="AM129" s="38">
        <f>E129*AE129</f>
        <v>0</v>
      </c>
      <c r="AN129" s="38">
        <f>E129*AF129</f>
        <v>0</v>
      </c>
      <c r="AO129" s="39" t="s">
        <v>285</v>
      </c>
      <c r="AP129" s="39" t="s">
        <v>288</v>
      </c>
      <c r="AQ129" s="29" t="s">
        <v>289</v>
      </c>
      <c r="AS129" s="38">
        <f>AM129+AN129</f>
        <v>0</v>
      </c>
      <c r="AT129" s="38">
        <f>F129/(100-AU129)*100</f>
        <v>0</v>
      </c>
      <c r="AU129" s="38">
        <v>0</v>
      </c>
      <c r="AV129" s="38">
        <f>K129</f>
        <v>0</v>
      </c>
    </row>
    <row r="130" spans="1:12" ht="12.75">
      <c r="A130" s="9"/>
      <c r="B130" s="9"/>
      <c r="C130" s="9"/>
      <c r="D130" s="9"/>
      <c r="E130" s="9"/>
      <c r="F130" s="9"/>
      <c r="G130" s="88" t="s">
        <v>249</v>
      </c>
      <c r="H130" s="89"/>
      <c r="I130" s="42">
        <f>I12+I24+I29+I37+I40+I46+I48+I59+I64+I87+I113+I115</f>
        <v>0</v>
      </c>
      <c r="J130" s="9"/>
      <c r="K130" s="9"/>
      <c r="L130" s="9"/>
    </row>
    <row r="131" ht="11.25" customHeight="1">
      <c r="A131" s="10" t="s">
        <v>56</v>
      </c>
    </row>
    <row r="132" spans="1:14" ht="12.75">
      <c r="A132" s="8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</sheetData>
  <sheetProtection/>
  <mergeCells count="29">
    <mergeCell ref="G10:I10"/>
    <mergeCell ref="J10:K10"/>
    <mergeCell ref="G130:H130"/>
    <mergeCell ref="A132:N132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F1"/>
    </sheetView>
  </sheetViews>
  <sheetFormatPr defaultColWidth="11.57421875" defaultRowHeight="12.75"/>
  <cols>
    <col min="1" max="1" width="16.57421875" style="0" customWidth="1"/>
    <col min="2" max="2" width="41.7109375" style="0" customWidth="1"/>
    <col min="3" max="3" width="22.140625" style="0" customWidth="1"/>
    <col min="4" max="4" width="21.00390625" style="0" customWidth="1"/>
    <col min="5" max="5" width="20.8515625" style="0" customWidth="1"/>
    <col min="6" max="6" width="19.7109375" style="0" customWidth="1"/>
    <col min="7" max="8" width="0" style="0" hidden="1" customWidth="1"/>
  </cols>
  <sheetData>
    <row r="1" spans="1:6" ht="72.75" customHeight="1">
      <c r="A1" s="67" t="s">
        <v>290</v>
      </c>
      <c r="B1" s="68"/>
      <c r="C1" s="68"/>
      <c r="D1" s="68"/>
      <c r="E1" s="68"/>
      <c r="F1" s="68"/>
    </row>
    <row r="2" spans="1:7" ht="12.75">
      <c r="A2" s="69" t="s">
        <v>0</v>
      </c>
      <c r="B2" s="73" t="str">
        <f>'Stavební rozpočet'!C2</f>
        <v>Ulice Husova, Hybešova - parkovací stání</v>
      </c>
      <c r="C2" s="89"/>
      <c r="D2" s="76" t="s">
        <v>250</v>
      </c>
      <c r="E2" s="76" t="str">
        <f>'Stavební rozpočet'!I2</f>
        <v>Město Šlapanice</v>
      </c>
      <c r="F2" s="77"/>
      <c r="G2" s="1"/>
    </row>
    <row r="3" spans="1:7" ht="12.75">
      <c r="A3" s="71"/>
      <c r="B3" s="74"/>
      <c r="C3" s="74"/>
      <c r="D3" s="72"/>
      <c r="E3" s="72"/>
      <c r="F3" s="78"/>
      <c r="G3" s="1"/>
    </row>
    <row r="4" spans="1:7" ht="12.75">
      <c r="A4" s="79" t="s">
        <v>1</v>
      </c>
      <c r="B4" s="80" t="str">
        <f>'Stavební rozpočet'!C4</f>
        <v>SO02 Ulice Hybešova</v>
      </c>
      <c r="C4" s="72"/>
      <c r="D4" s="80" t="s">
        <v>251</v>
      </c>
      <c r="E4" s="80" t="str">
        <f>'Stavební rozpočet'!I4</f>
        <v>Matula, projekční kancelář, Šumavská 15, Brno, 602</v>
      </c>
      <c r="F4" s="78"/>
      <c r="G4" s="1"/>
    </row>
    <row r="5" spans="1:7" ht="12.75">
      <c r="A5" s="71"/>
      <c r="B5" s="72"/>
      <c r="C5" s="72"/>
      <c r="D5" s="72"/>
      <c r="E5" s="72"/>
      <c r="F5" s="78"/>
      <c r="G5" s="1"/>
    </row>
    <row r="6" spans="1:7" ht="12.75">
      <c r="A6" s="79" t="s">
        <v>2</v>
      </c>
      <c r="B6" s="80" t="str">
        <f>'Stavební rozpočet'!C6</f>
        <v>Šlapanice</v>
      </c>
      <c r="C6" s="72"/>
      <c r="D6" s="80" t="s">
        <v>252</v>
      </c>
      <c r="E6" s="80" t="str">
        <f>'Stavební rozpočet'!I6</f>
        <v> </v>
      </c>
      <c r="F6" s="78"/>
      <c r="G6" s="1"/>
    </row>
    <row r="7" spans="1:7" ht="12.75">
      <c r="A7" s="71"/>
      <c r="B7" s="72"/>
      <c r="C7" s="72"/>
      <c r="D7" s="72"/>
      <c r="E7" s="72"/>
      <c r="F7" s="78"/>
      <c r="G7" s="1"/>
    </row>
    <row r="8" spans="1:7" ht="12.75">
      <c r="A8" s="79" t="s">
        <v>253</v>
      </c>
      <c r="B8" s="80" t="str">
        <f>'Stavební rozpočet'!I8</f>
        <v>Ing. Krejčíková</v>
      </c>
      <c r="C8" s="72"/>
      <c r="D8" s="81" t="s">
        <v>236</v>
      </c>
      <c r="E8" s="80" t="str">
        <f>'Stavební rozpočet'!F8</f>
        <v>04.04.2018</v>
      </c>
      <c r="F8" s="78"/>
      <c r="G8" s="1"/>
    </row>
    <row r="9" spans="1:7" ht="12.75">
      <c r="A9" s="82"/>
      <c r="B9" s="83"/>
      <c r="C9" s="83"/>
      <c r="D9" s="83"/>
      <c r="E9" s="83"/>
      <c r="F9" s="84"/>
      <c r="G9" s="1"/>
    </row>
    <row r="10" spans="1:7" ht="12.75">
      <c r="A10" s="43" t="s">
        <v>57</v>
      </c>
      <c r="B10" s="45" t="s">
        <v>116</v>
      </c>
      <c r="C10" s="46" t="s">
        <v>291</v>
      </c>
      <c r="D10" s="46" t="s">
        <v>292</v>
      </c>
      <c r="E10" s="46" t="s">
        <v>293</v>
      </c>
      <c r="F10" s="48" t="s">
        <v>294</v>
      </c>
      <c r="G10" s="37"/>
    </row>
    <row r="11" spans="1:8" ht="12.75">
      <c r="A11" s="44" t="s">
        <v>16</v>
      </c>
      <c r="B11" s="44" t="s">
        <v>118</v>
      </c>
      <c r="C11" s="49">
        <f>'Stavební rozpočet'!G12</f>
        <v>0</v>
      </c>
      <c r="D11" s="49">
        <f>'Stavební rozpočet'!H12</f>
        <v>0</v>
      </c>
      <c r="E11" s="49">
        <f aca="true" t="shared" si="0" ref="E11:E22">C11+D11</f>
        <v>0</v>
      </c>
      <c r="F11" s="49">
        <f>'Stavební rozpočet'!K12</f>
        <v>66.762</v>
      </c>
      <c r="G11" s="38" t="s">
        <v>295</v>
      </c>
      <c r="H11" s="38">
        <f aca="true" t="shared" si="1" ref="H11:H22">IF(G11="F",0,E11)</f>
        <v>0</v>
      </c>
    </row>
    <row r="12" spans="1:8" ht="12.75">
      <c r="A12" s="17" t="s">
        <v>17</v>
      </c>
      <c r="B12" s="17" t="s">
        <v>130</v>
      </c>
      <c r="C12" s="38">
        <f>'Stavební rozpočet'!G24</f>
        <v>0</v>
      </c>
      <c r="D12" s="38">
        <f>'Stavební rozpočet'!H24</f>
        <v>0</v>
      </c>
      <c r="E12" s="38">
        <f t="shared" si="0"/>
        <v>0</v>
      </c>
      <c r="F12" s="38">
        <f>'Stavební rozpočet'!K24</f>
        <v>0</v>
      </c>
      <c r="G12" s="38" t="s">
        <v>295</v>
      </c>
      <c r="H12" s="38">
        <f t="shared" si="1"/>
        <v>0</v>
      </c>
    </row>
    <row r="13" spans="1:8" ht="12.75">
      <c r="A13" s="17" t="s">
        <v>21</v>
      </c>
      <c r="B13" s="17" t="s">
        <v>135</v>
      </c>
      <c r="C13" s="38">
        <f>'Stavební rozpočet'!G29</f>
        <v>0</v>
      </c>
      <c r="D13" s="38">
        <f>'Stavební rozpočet'!H29</f>
        <v>0</v>
      </c>
      <c r="E13" s="38">
        <f t="shared" si="0"/>
        <v>0</v>
      </c>
      <c r="F13" s="38">
        <f>'Stavební rozpočet'!K29</f>
        <v>0</v>
      </c>
      <c r="G13" s="38" t="s">
        <v>295</v>
      </c>
      <c r="H13" s="38">
        <f t="shared" si="1"/>
        <v>0</v>
      </c>
    </row>
    <row r="14" spans="1:8" ht="12.75">
      <c r="A14" s="17" t="s">
        <v>22</v>
      </c>
      <c r="B14" s="17" t="s">
        <v>143</v>
      </c>
      <c r="C14" s="38">
        <f>'Stavební rozpočet'!G37</f>
        <v>0</v>
      </c>
      <c r="D14" s="38">
        <f>'Stavební rozpočet'!H37</f>
        <v>0</v>
      </c>
      <c r="E14" s="38">
        <f t="shared" si="0"/>
        <v>0</v>
      </c>
      <c r="F14" s="38">
        <f>'Stavební rozpočet'!K37</f>
        <v>0</v>
      </c>
      <c r="G14" s="38" t="s">
        <v>295</v>
      </c>
      <c r="H14" s="38">
        <f t="shared" si="1"/>
        <v>0</v>
      </c>
    </row>
    <row r="15" spans="1:8" ht="12.75">
      <c r="A15" s="17" t="s">
        <v>23</v>
      </c>
      <c r="B15" s="17" t="s">
        <v>146</v>
      </c>
      <c r="C15" s="38">
        <f>'Stavební rozpočet'!G40</f>
        <v>0</v>
      </c>
      <c r="D15" s="38">
        <f>'Stavební rozpočet'!H40</f>
        <v>0</v>
      </c>
      <c r="E15" s="38">
        <f t="shared" si="0"/>
        <v>0</v>
      </c>
      <c r="F15" s="38">
        <f>'Stavební rozpočet'!K40</f>
        <v>0.03726</v>
      </c>
      <c r="G15" s="38" t="s">
        <v>295</v>
      </c>
      <c r="H15" s="38">
        <f t="shared" si="1"/>
        <v>0</v>
      </c>
    </row>
    <row r="16" spans="1:8" ht="12.75">
      <c r="A16" s="17" t="s">
        <v>24</v>
      </c>
      <c r="B16" s="17" t="s">
        <v>152</v>
      </c>
      <c r="C16" s="38">
        <f>'Stavební rozpočet'!G46</f>
        <v>0</v>
      </c>
      <c r="D16" s="38">
        <f>'Stavební rozpočet'!H46</f>
        <v>0</v>
      </c>
      <c r="E16" s="38">
        <f t="shared" si="0"/>
        <v>0</v>
      </c>
      <c r="F16" s="38">
        <f>'Stavební rozpočet'!K46</f>
        <v>0</v>
      </c>
      <c r="G16" s="38" t="s">
        <v>295</v>
      </c>
      <c r="H16" s="38">
        <f t="shared" si="1"/>
        <v>0</v>
      </c>
    </row>
    <row r="17" spans="1:8" ht="12.75">
      <c r="A17" s="17" t="s">
        <v>74</v>
      </c>
      <c r="B17" s="17" t="s">
        <v>154</v>
      </c>
      <c r="C17" s="38">
        <f>'Stavební rozpočet'!G48</f>
        <v>0</v>
      </c>
      <c r="D17" s="38">
        <f>'Stavební rozpočet'!H48</f>
        <v>0</v>
      </c>
      <c r="E17" s="38">
        <f t="shared" si="0"/>
        <v>0</v>
      </c>
      <c r="F17" s="38">
        <f>'Stavební rozpočet'!K48</f>
        <v>213.76690999999997</v>
      </c>
      <c r="G17" s="38" t="s">
        <v>295</v>
      </c>
      <c r="H17" s="38">
        <f t="shared" si="1"/>
        <v>0</v>
      </c>
    </row>
    <row r="18" spans="1:8" ht="12.75">
      <c r="A18" s="17" t="s">
        <v>79</v>
      </c>
      <c r="B18" s="17" t="s">
        <v>164</v>
      </c>
      <c r="C18" s="38">
        <f>'Stavební rozpočet'!G59</f>
        <v>0</v>
      </c>
      <c r="D18" s="38">
        <f>'Stavební rozpočet'!H59</f>
        <v>0</v>
      </c>
      <c r="E18" s="38">
        <f t="shared" si="0"/>
        <v>0</v>
      </c>
      <c r="F18" s="38">
        <f>'Stavební rozpočet'!K59</f>
        <v>4.547548</v>
      </c>
      <c r="G18" s="38" t="s">
        <v>295</v>
      </c>
      <c r="H18" s="38">
        <f t="shared" si="1"/>
        <v>0</v>
      </c>
    </row>
    <row r="19" spans="1:8" ht="12.75">
      <c r="A19" s="17" t="s">
        <v>82</v>
      </c>
      <c r="B19" s="17" t="s">
        <v>169</v>
      </c>
      <c r="C19" s="38">
        <f>'Stavební rozpočet'!G64</f>
        <v>0</v>
      </c>
      <c r="D19" s="38">
        <f>'Stavební rozpočet'!H64</f>
        <v>0</v>
      </c>
      <c r="E19" s="38">
        <f t="shared" si="0"/>
        <v>0</v>
      </c>
      <c r="F19" s="38">
        <f>'Stavební rozpočet'!K64</f>
        <v>48.185089409999996</v>
      </c>
      <c r="G19" s="38" t="s">
        <v>295</v>
      </c>
      <c r="H19" s="38">
        <f t="shared" si="1"/>
        <v>0</v>
      </c>
    </row>
    <row r="20" spans="1:8" ht="12.75">
      <c r="A20" s="17" t="s">
        <v>91</v>
      </c>
      <c r="B20" s="17" t="s">
        <v>191</v>
      </c>
      <c r="C20" s="38">
        <f>'Stavební rozpočet'!G87</f>
        <v>0</v>
      </c>
      <c r="D20" s="38">
        <f>'Stavební rozpočet'!H87</f>
        <v>0</v>
      </c>
      <c r="E20" s="38">
        <f t="shared" si="0"/>
        <v>0</v>
      </c>
      <c r="F20" s="38">
        <f>'Stavební rozpočet'!K87</f>
        <v>78.10118969999999</v>
      </c>
      <c r="G20" s="38" t="s">
        <v>295</v>
      </c>
      <c r="H20" s="38">
        <f t="shared" si="1"/>
        <v>0</v>
      </c>
    </row>
    <row r="21" spans="1:8" ht="12.75">
      <c r="A21" s="17" t="s">
        <v>103</v>
      </c>
      <c r="B21" s="17" t="s">
        <v>216</v>
      </c>
      <c r="C21" s="38">
        <f>'Stavební rozpočet'!G113</f>
        <v>0</v>
      </c>
      <c r="D21" s="38">
        <f>'Stavební rozpočet'!H113</f>
        <v>0</v>
      </c>
      <c r="E21" s="38">
        <f t="shared" si="0"/>
        <v>0</v>
      </c>
      <c r="F21" s="38">
        <f>'Stavební rozpočet'!K113</f>
        <v>0</v>
      </c>
      <c r="G21" s="38" t="s">
        <v>295</v>
      </c>
      <c r="H21" s="38">
        <f t="shared" si="1"/>
        <v>0</v>
      </c>
    </row>
    <row r="22" spans="1:8" ht="12.75">
      <c r="A22" s="17" t="s">
        <v>105</v>
      </c>
      <c r="B22" s="17" t="s">
        <v>218</v>
      </c>
      <c r="C22" s="38">
        <f>'Stavební rozpočet'!G115</f>
        <v>0</v>
      </c>
      <c r="D22" s="38">
        <f>'Stavební rozpočet'!H115</f>
        <v>0</v>
      </c>
      <c r="E22" s="38">
        <f t="shared" si="0"/>
        <v>0</v>
      </c>
      <c r="F22" s="38">
        <f>'Stavební rozpočet'!K115</f>
        <v>0</v>
      </c>
      <c r="G22" s="38" t="s">
        <v>295</v>
      </c>
      <c r="H22" s="38">
        <f t="shared" si="1"/>
        <v>0</v>
      </c>
    </row>
    <row r="24" spans="4:5" ht="12.75">
      <c r="D24" s="47" t="s">
        <v>249</v>
      </c>
      <c r="E24" s="50">
        <f>SUM(H11:H22)</f>
        <v>0</v>
      </c>
    </row>
  </sheetData>
  <sheetProtection/>
  <mergeCells count="17">
    <mergeCell ref="A6:A7"/>
    <mergeCell ref="B6:C7"/>
    <mergeCell ref="D6:D7"/>
    <mergeCell ref="E6:F7"/>
    <mergeCell ref="A8:A9"/>
    <mergeCell ref="B8:C9"/>
    <mergeCell ref="D8:D9"/>
    <mergeCell ref="E8:F9"/>
    <mergeCell ref="A1:F1"/>
    <mergeCell ref="A2:A3"/>
    <mergeCell ref="B2:C3"/>
    <mergeCell ref="D2:D3"/>
    <mergeCell ref="E2:F3"/>
    <mergeCell ref="A4:A5"/>
    <mergeCell ref="B4:C5"/>
    <mergeCell ref="D4:D5"/>
    <mergeCell ref="E4:F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51"/>
      <c r="C1" s="90" t="s">
        <v>311</v>
      </c>
      <c r="D1" s="91"/>
      <c r="E1" s="91"/>
      <c r="F1" s="91"/>
      <c r="G1" s="91"/>
      <c r="H1" s="91"/>
      <c r="I1" s="91"/>
    </row>
    <row r="2" spans="1:10" ht="12.75">
      <c r="A2" s="69" t="s">
        <v>0</v>
      </c>
      <c r="B2" s="70"/>
      <c r="C2" s="73" t="str">
        <f>'Stavební rozpočet'!C2</f>
        <v>Ulice Husova, Hybešova - parkovací stání</v>
      </c>
      <c r="D2" s="89"/>
      <c r="E2" s="76" t="s">
        <v>250</v>
      </c>
      <c r="F2" s="76" t="str">
        <f>'Stavební rozpočet'!I2</f>
        <v>Město Šlapanice</v>
      </c>
      <c r="G2" s="70"/>
      <c r="H2" s="76" t="s">
        <v>336</v>
      </c>
      <c r="I2" s="92"/>
      <c r="J2" s="1"/>
    </row>
    <row r="3" spans="1:10" ht="12.75">
      <c r="A3" s="71"/>
      <c r="B3" s="72"/>
      <c r="C3" s="74"/>
      <c r="D3" s="74"/>
      <c r="E3" s="72"/>
      <c r="F3" s="72"/>
      <c r="G3" s="72"/>
      <c r="H3" s="72"/>
      <c r="I3" s="78"/>
      <c r="J3" s="1"/>
    </row>
    <row r="4" spans="1:10" ht="12.75">
      <c r="A4" s="79" t="s">
        <v>1</v>
      </c>
      <c r="B4" s="72"/>
      <c r="C4" s="80" t="str">
        <f>'Stavební rozpočet'!C4</f>
        <v>SO02 Ulice Hybešova</v>
      </c>
      <c r="D4" s="72"/>
      <c r="E4" s="80" t="s">
        <v>251</v>
      </c>
      <c r="F4" s="80" t="str">
        <f>'Stavební rozpočet'!I4</f>
        <v>Matula, projekční kancelář, Šumavská 15, Brno, 602</v>
      </c>
      <c r="G4" s="72"/>
      <c r="H4" s="80" t="s">
        <v>336</v>
      </c>
      <c r="I4" s="93"/>
      <c r="J4" s="1"/>
    </row>
    <row r="5" spans="1:10" ht="12.75">
      <c r="A5" s="71"/>
      <c r="B5" s="72"/>
      <c r="C5" s="72"/>
      <c r="D5" s="72"/>
      <c r="E5" s="72"/>
      <c r="F5" s="72"/>
      <c r="G5" s="72"/>
      <c r="H5" s="72"/>
      <c r="I5" s="78"/>
      <c r="J5" s="1"/>
    </row>
    <row r="6" spans="1:10" ht="12.75">
      <c r="A6" s="79" t="s">
        <v>2</v>
      </c>
      <c r="B6" s="72"/>
      <c r="C6" s="80" t="str">
        <f>'Stavební rozpočet'!C6</f>
        <v>Šlapanice</v>
      </c>
      <c r="D6" s="72"/>
      <c r="E6" s="80" t="s">
        <v>252</v>
      </c>
      <c r="F6" s="80" t="str">
        <f>'Stavební rozpočet'!I6</f>
        <v> </v>
      </c>
      <c r="G6" s="72"/>
      <c r="H6" s="80" t="s">
        <v>336</v>
      </c>
      <c r="I6" s="93"/>
      <c r="J6" s="1"/>
    </row>
    <row r="7" spans="1:10" ht="12.75">
      <c r="A7" s="71"/>
      <c r="B7" s="72"/>
      <c r="C7" s="72"/>
      <c r="D7" s="72"/>
      <c r="E7" s="72"/>
      <c r="F7" s="72"/>
      <c r="G7" s="72"/>
      <c r="H7" s="72"/>
      <c r="I7" s="78"/>
      <c r="J7" s="1"/>
    </row>
    <row r="8" spans="1:10" ht="12.75">
      <c r="A8" s="79" t="s">
        <v>234</v>
      </c>
      <c r="B8" s="72"/>
      <c r="C8" s="80" t="str">
        <f>'Stavební rozpočet'!F4</f>
        <v> </v>
      </c>
      <c r="D8" s="72"/>
      <c r="E8" s="80" t="s">
        <v>235</v>
      </c>
      <c r="F8" s="80" t="str">
        <f>'Stavební rozpočet'!F6</f>
        <v> </v>
      </c>
      <c r="G8" s="72"/>
      <c r="H8" s="81" t="s">
        <v>337</v>
      </c>
      <c r="I8" s="93" t="s">
        <v>55</v>
      </c>
      <c r="J8" s="1"/>
    </row>
    <row r="9" spans="1:10" ht="12.75">
      <c r="A9" s="71"/>
      <c r="B9" s="72"/>
      <c r="C9" s="72"/>
      <c r="D9" s="72"/>
      <c r="E9" s="72"/>
      <c r="F9" s="72"/>
      <c r="G9" s="72"/>
      <c r="H9" s="72"/>
      <c r="I9" s="78"/>
      <c r="J9" s="1"/>
    </row>
    <row r="10" spans="1:10" ht="12.75">
      <c r="A10" s="79" t="s">
        <v>3</v>
      </c>
      <c r="B10" s="72"/>
      <c r="C10" s="80" t="str">
        <f>'Stavební rozpočet'!C8</f>
        <v> </v>
      </c>
      <c r="D10" s="72"/>
      <c r="E10" s="80" t="s">
        <v>253</v>
      </c>
      <c r="F10" s="80" t="str">
        <f>'Stavební rozpočet'!I8</f>
        <v>Ing. Krejčíková</v>
      </c>
      <c r="G10" s="72"/>
      <c r="H10" s="81" t="s">
        <v>338</v>
      </c>
      <c r="I10" s="96" t="str">
        <f>'Stavební rozpočet'!F8</f>
        <v>04.04.2018</v>
      </c>
      <c r="J10" s="1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1"/>
    </row>
    <row r="12" spans="1:9" ht="23.25" customHeight="1">
      <c r="A12" s="98" t="s">
        <v>296</v>
      </c>
      <c r="B12" s="99"/>
      <c r="C12" s="99"/>
      <c r="D12" s="99"/>
      <c r="E12" s="99"/>
      <c r="F12" s="99"/>
      <c r="G12" s="99"/>
      <c r="H12" s="99"/>
      <c r="I12" s="99"/>
    </row>
    <row r="13" spans="1:10" ht="26.25" customHeight="1">
      <c r="A13" s="53" t="s">
        <v>297</v>
      </c>
      <c r="B13" s="100" t="s">
        <v>309</v>
      </c>
      <c r="C13" s="101"/>
      <c r="D13" s="53" t="s">
        <v>312</v>
      </c>
      <c r="E13" s="100" t="s">
        <v>321</v>
      </c>
      <c r="F13" s="101"/>
      <c r="G13" s="53" t="s">
        <v>322</v>
      </c>
      <c r="H13" s="100" t="s">
        <v>339</v>
      </c>
      <c r="I13" s="101"/>
      <c r="J13" s="1"/>
    </row>
    <row r="14" spans="1:10" ht="15" customHeight="1">
      <c r="A14" s="54" t="s">
        <v>298</v>
      </c>
      <c r="B14" s="58" t="s">
        <v>310</v>
      </c>
      <c r="C14" s="60">
        <f>SUM('Stavební rozpočet'!R12:R129)</f>
        <v>0</v>
      </c>
      <c r="D14" s="102" t="s">
        <v>313</v>
      </c>
      <c r="E14" s="103"/>
      <c r="F14" s="60">
        <v>0</v>
      </c>
      <c r="G14" s="102" t="s">
        <v>323</v>
      </c>
      <c r="H14" s="103"/>
      <c r="I14" s="60">
        <v>0</v>
      </c>
      <c r="J14" s="1"/>
    </row>
    <row r="15" spans="1:10" ht="15" customHeight="1">
      <c r="A15" s="55"/>
      <c r="B15" s="58" t="s">
        <v>254</v>
      </c>
      <c r="C15" s="60">
        <f>SUM('Stavební rozpočet'!S12:S129)</f>
        <v>0</v>
      </c>
      <c r="D15" s="102" t="s">
        <v>314</v>
      </c>
      <c r="E15" s="103"/>
      <c r="F15" s="60">
        <v>0</v>
      </c>
      <c r="G15" s="102" t="s">
        <v>324</v>
      </c>
      <c r="H15" s="103"/>
      <c r="I15" s="60">
        <v>0</v>
      </c>
      <c r="J15" s="1"/>
    </row>
    <row r="16" spans="1:10" ht="15" customHeight="1">
      <c r="A16" s="54" t="s">
        <v>299</v>
      </c>
      <c r="B16" s="58" t="s">
        <v>310</v>
      </c>
      <c r="C16" s="60">
        <f>SUM('Stavební rozpočet'!T12:T129)</f>
        <v>0</v>
      </c>
      <c r="D16" s="102" t="s">
        <v>315</v>
      </c>
      <c r="E16" s="103"/>
      <c r="F16" s="60">
        <v>0</v>
      </c>
      <c r="G16" s="102" t="s">
        <v>325</v>
      </c>
      <c r="H16" s="103"/>
      <c r="I16" s="60">
        <v>0</v>
      </c>
      <c r="J16" s="1"/>
    </row>
    <row r="17" spans="1:10" ht="15" customHeight="1">
      <c r="A17" s="55"/>
      <c r="B17" s="58" t="s">
        <v>254</v>
      </c>
      <c r="C17" s="60">
        <f>SUM('Stavební rozpočet'!U12:U129)</f>
        <v>0</v>
      </c>
      <c r="D17" s="102"/>
      <c r="E17" s="103"/>
      <c r="F17" s="61"/>
      <c r="G17" s="102" t="s">
        <v>326</v>
      </c>
      <c r="H17" s="103"/>
      <c r="I17" s="60">
        <v>0</v>
      </c>
      <c r="J17" s="1"/>
    </row>
    <row r="18" spans="1:10" ht="15" customHeight="1">
      <c r="A18" s="54" t="s">
        <v>300</v>
      </c>
      <c r="B18" s="58" t="s">
        <v>310</v>
      </c>
      <c r="C18" s="60">
        <f>SUM('Stavební rozpočet'!V12:V129)</f>
        <v>0</v>
      </c>
      <c r="D18" s="102"/>
      <c r="E18" s="103"/>
      <c r="F18" s="61"/>
      <c r="G18" s="102" t="s">
        <v>327</v>
      </c>
      <c r="H18" s="103"/>
      <c r="I18" s="60">
        <v>0</v>
      </c>
      <c r="J18" s="1"/>
    </row>
    <row r="19" spans="1:10" ht="15" customHeight="1">
      <c r="A19" s="55"/>
      <c r="B19" s="58" t="s">
        <v>254</v>
      </c>
      <c r="C19" s="60">
        <f>SUM('Stavební rozpočet'!W12:W129)</f>
        <v>0</v>
      </c>
      <c r="D19" s="102"/>
      <c r="E19" s="103"/>
      <c r="F19" s="61"/>
      <c r="G19" s="102" t="s">
        <v>328</v>
      </c>
      <c r="H19" s="103"/>
      <c r="I19" s="60">
        <v>0</v>
      </c>
      <c r="J19" s="1"/>
    </row>
    <row r="20" spans="1:10" ht="15" customHeight="1">
      <c r="A20" s="104" t="s">
        <v>301</v>
      </c>
      <c r="B20" s="105"/>
      <c r="C20" s="60">
        <f>SUM('Stavební rozpočet'!X12:X129)</f>
        <v>0</v>
      </c>
      <c r="D20" s="102"/>
      <c r="E20" s="103"/>
      <c r="F20" s="61"/>
      <c r="G20" s="102"/>
      <c r="H20" s="103"/>
      <c r="I20" s="61"/>
      <c r="J20" s="1"/>
    </row>
    <row r="21" spans="1:10" ht="15" customHeight="1">
      <c r="A21" s="104" t="s">
        <v>302</v>
      </c>
      <c r="B21" s="105"/>
      <c r="C21" s="60">
        <f>SUM('Stavební rozpočet'!P12:P129)</f>
        <v>0</v>
      </c>
      <c r="D21" s="102"/>
      <c r="E21" s="103"/>
      <c r="F21" s="61"/>
      <c r="G21" s="102"/>
      <c r="H21" s="103"/>
      <c r="I21" s="61"/>
      <c r="J21" s="1"/>
    </row>
    <row r="22" spans="1:10" ht="16.5" customHeight="1">
      <c r="A22" s="104" t="s">
        <v>303</v>
      </c>
      <c r="B22" s="105"/>
      <c r="C22" s="60">
        <f>SUM(C14:C21)</f>
        <v>0</v>
      </c>
      <c r="D22" s="104" t="s">
        <v>316</v>
      </c>
      <c r="E22" s="105"/>
      <c r="F22" s="60">
        <f>SUM(F14:F21)</f>
        <v>0</v>
      </c>
      <c r="G22" s="104" t="s">
        <v>329</v>
      </c>
      <c r="H22" s="105"/>
      <c r="I22" s="60">
        <f>SUM(I14:I21)</f>
        <v>0</v>
      </c>
      <c r="J22" s="1"/>
    </row>
    <row r="23" spans="1:10" ht="15" customHeight="1">
      <c r="A23" s="9"/>
      <c r="B23" s="9"/>
      <c r="C23" s="30"/>
      <c r="D23" s="104" t="s">
        <v>317</v>
      </c>
      <c r="E23" s="105"/>
      <c r="F23" s="62">
        <v>0</v>
      </c>
      <c r="G23" s="104" t="s">
        <v>330</v>
      </c>
      <c r="H23" s="105"/>
      <c r="I23" s="60">
        <v>0</v>
      </c>
      <c r="J23" s="1"/>
    </row>
    <row r="24" spans="4:9" ht="15" customHeight="1">
      <c r="D24" s="9"/>
      <c r="E24" s="9"/>
      <c r="F24" s="63"/>
      <c r="G24" s="104" t="s">
        <v>331</v>
      </c>
      <c r="H24" s="105"/>
      <c r="I24" s="64"/>
    </row>
    <row r="25" spans="6:10" ht="15" customHeight="1">
      <c r="F25" s="31"/>
      <c r="G25" s="104" t="s">
        <v>332</v>
      </c>
      <c r="H25" s="105"/>
      <c r="I25" s="60">
        <v>0</v>
      </c>
      <c r="J25" s="1"/>
    </row>
    <row r="26" spans="1:9" ht="12.75">
      <c r="A26" s="51"/>
      <c r="B26" s="51"/>
      <c r="C26" s="51"/>
      <c r="G26" s="9"/>
      <c r="H26" s="9"/>
      <c r="I26" s="9"/>
    </row>
    <row r="27" spans="1:9" ht="15" customHeight="1">
      <c r="A27" s="106" t="s">
        <v>304</v>
      </c>
      <c r="B27" s="107"/>
      <c r="C27" s="65">
        <f>SUM('Stavební rozpočet'!Z12:Z129)</f>
        <v>0</v>
      </c>
      <c r="D27" s="52"/>
      <c r="E27" s="51"/>
      <c r="F27" s="51"/>
      <c r="G27" s="51"/>
      <c r="H27" s="51"/>
      <c r="I27" s="51"/>
    </row>
    <row r="28" spans="1:10" ht="15" customHeight="1">
      <c r="A28" s="106" t="s">
        <v>305</v>
      </c>
      <c r="B28" s="107"/>
      <c r="C28" s="65">
        <f>SUM('Stavební rozpočet'!AA12:AA129)</f>
        <v>0</v>
      </c>
      <c r="D28" s="106" t="s">
        <v>318</v>
      </c>
      <c r="E28" s="107"/>
      <c r="F28" s="65">
        <f>ROUND(C28*(15/100),2)</f>
        <v>0</v>
      </c>
      <c r="G28" s="106" t="s">
        <v>333</v>
      </c>
      <c r="H28" s="107"/>
      <c r="I28" s="65">
        <f>SUM(C27:C29)</f>
        <v>0</v>
      </c>
      <c r="J28" s="1"/>
    </row>
    <row r="29" spans="1:10" ht="15" customHeight="1">
      <c r="A29" s="106" t="s">
        <v>306</v>
      </c>
      <c r="B29" s="107"/>
      <c r="C29" s="65">
        <f>SUM('Stavební rozpočet'!AB12:AB129)+(F22+I22+F23+I23+I24+I25)</f>
        <v>0</v>
      </c>
      <c r="D29" s="106" t="s">
        <v>319</v>
      </c>
      <c r="E29" s="107"/>
      <c r="F29" s="65">
        <f>ROUND(C29*(21/100),2)</f>
        <v>0</v>
      </c>
      <c r="G29" s="106" t="s">
        <v>334</v>
      </c>
      <c r="H29" s="107"/>
      <c r="I29" s="65">
        <f>SUM(F28:F29)+I28</f>
        <v>0</v>
      </c>
      <c r="J29" s="1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10" ht="14.25" customHeight="1">
      <c r="A31" s="108" t="s">
        <v>307</v>
      </c>
      <c r="B31" s="109"/>
      <c r="C31" s="110"/>
      <c r="D31" s="108" t="s">
        <v>320</v>
      </c>
      <c r="E31" s="109"/>
      <c r="F31" s="110"/>
      <c r="G31" s="108" t="s">
        <v>335</v>
      </c>
      <c r="H31" s="109"/>
      <c r="I31" s="110"/>
      <c r="J31" s="37"/>
    </row>
    <row r="32" spans="1:10" ht="14.2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7"/>
    </row>
    <row r="33" spans="1:10" ht="14.2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7"/>
    </row>
    <row r="34" spans="1:10" ht="14.2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7"/>
    </row>
    <row r="35" spans="1:10" ht="14.25" customHeight="1">
      <c r="A35" s="114" t="s">
        <v>308</v>
      </c>
      <c r="B35" s="115"/>
      <c r="C35" s="116"/>
      <c r="D35" s="114" t="s">
        <v>308</v>
      </c>
      <c r="E35" s="115"/>
      <c r="F35" s="116"/>
      <c r="G35" s="114" t="s">
        <v>308</v>
      </c>
      <c r="H35" s="115"/>
      <c r="I35" s="116"/>
      <c r="J35" s="37"/>
    </row>
    <row r="36" spans="1:9" ht="11.25" customHeight="1">
      <c r="A36" s="57" t="s">
        <v>56</v>
      </c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80"/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2018-04-04T12:26:31Z</cp:lastPrinted>
  <dcterms:modified xsi:type="dcterms:W3CDTF">2018-04-04T12:26:34Z</dcterms:modified>
  <cp:category/>
  <cp:version/>
  <cp:contentType/>
  <cp:contentStatus/>
</cp:coreProperties>
</file>