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<sst xmlns="http://schemas.openxmlformats.org/spreadsheetml/2006/main" count="1147" uniqueCount="498">
  <si>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</si>
  <si>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</si>
  <si>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</si>
  <si>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</si>
  <si>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</si>
  <si>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</si>
  <si>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</si>
  <si>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</si>
  <si>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</si>
  <si>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</si>
  <si>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</si>
  <si>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</si>
  <si>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</si>
  <si>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</si>
  <si>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</si>
  <si>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</si>
  <si>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</si>
  <si>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</si>
  <si>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</si>
  <si>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</si>
  <si>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</si>
  <si>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</si>
  <si>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</si>
  <si>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</si>
  <si>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</si>
  <si>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</si>
  <si>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</si>
  <si>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</si>
  <si>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</si>
  <si>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</si>
  <si>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</si>
  <si>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</si>
  <si>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</si>
  <si>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</si>
  <si>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</si>
  <si>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</si>
  <si>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</si>
  <si>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</si>
  <si>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</si>
  <si>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</si>
  <si>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</si>
  <si>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</si>
  <si>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</si>
  <si>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</si>
  <si>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</si>
  <si>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</si>
  <si>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</si>
  <si>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</si>
  <si>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</si>
  <si>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</si>
  <si>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</si>
  <si>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</si>
  <si>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</si>
  <si>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</si>
  <si>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</si>
  <si>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</si>
  <si>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</si>
  <si>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</si>
  <si>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</si>
  <si>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</si>
  <si>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</si>
  <si>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</si>
  <si>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</si>
  <si>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</si>
  <si>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</si>
  <si>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</si>
  <si>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</si>
  <si>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</si>
  <si>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</si>
  <si>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</si>
  <si>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</si>
  <si>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</si>
  <si>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</si>
  <si>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</si>
  <si>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</si>
  <si>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</si>
  <si>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</si>
  <si>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</si>
  <si>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</si>
  <si>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</si>
  <si>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</si>
  <si>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</si>
  <si>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</si>
  <si>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</si>
  <si>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</si>
  <si>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Poznámka:</t>
  </si>
  <si>
    <t>Kód</t>
  </si>
  <si>
    <t>113106121R00</t>
  </si>
  <si>
    <t>RTS komentář:</t>
  </si>
  <si>
    <t>113107610R00</t>
  </si>
  <si>
    <t>113107615R00</t>
  </si>
  <si>
    <t>113107630R00</t>
  </si>
  <si>
    <t>113108410R00</t>
  </si>
  <si>
    <t>113151314R00</t>
  </si>
  <si>
    <t>113202111R00</t>
  </si>
  <si>
    <t>121101103R00</t>
  </si>
  <si>
    <t>122202202R00</t>
  </si>
  <si>
    <t>122202209R00</t>
  </si>
  <si>
    <t>133201101R00</t>
  </si>
  <si>
    <t>133201109R00</t>
  </si>
  <si>
    <t>132201212R00</t>
  </si>
  <si>
    <t>132201219R00</t>
  </si>
  <si>
    <t>132201110R00</t>
  </si>
  <si>
    <t>132201119R00</t>
  </si>
  <si>
    <t>151101101R00</t>
  </si>
  <si>
    <t>151101111R00</t>
  </si>
  <si>
    <t>151101102R00</t>
  </si>
  <si>
    <t>151101112R00</t>
  </si>
  <si>
    <t>162301101R00</t>
  </si>
  <si>
    <t>162701105R00</t>
  </si>
  <si>
    <t>167101101R00</t>
  </si>
  <si>
    <t>174101101R00</t>
  </si>
  <si>
    <t>171101102R00</t>
  </si>
  <si>
    <t>181101101R00</t>
  </si>
  <si>
    <t>181101102R00</t>
  </si>
  <si>
    <t>183405211R00</t>
  </si>
  <si>
    <t>181301103R00</t>
  </si>
  <si>
    <t>199000002R00</t>
  </si>
  <si>
    <t>212792112R00</t>
  </si>
  <si>
    <t>212561111R00</t>
  </si>
  <si>
    <t>564851111R00</t>
  </si>
  <si>
    <t>564861111R00</t>
  </si>
  <si>
    <t>565151211R00</t>
  </si>
  <si>
    <t>565161211R00</t>
  </si>
  <si>
    <t>567123114R00</t>
  </si>
  <si>
    <t>573211111R00</t>
  </si>
  <si>
    <t>577142112R00</t>
  </si>
  <si>
    <t>596215021R00</t>
  </si>
  <si>
    <t>59245110</t>
  </si>
  <si>
    <t>592451151</t>
  </si>
  <si>
    <t>801-004VD</t>
  </si>
  <si>
    <t>83</t>
  </si>
  <si>
    <t>831312121R00</t>
  </si>
  <si>
    <t>59710632</t>
  </si>
  <si>
    <t>597109450</t>
  </si>
  <si>
    <t>89</t>
  </si>
  <si>
    <t>895941311RT2</t>
  </si>
  <si>
    <t>899201111RT2</t>
  </si>
  <si>
    <t>899202111R00</t>
  </si>
  <si>
    <t>500-005VD</t>
  </si>
  <si>
    <t>899623141R00</t>
  </si>
  <si>
    <t>899431111R00</t>
  </si>
  <si>
    <t>899432111R00</t>
  </si>
  <si>
    <t>899331111R00</t>
  </si>
  <si>
    <t>895983219R00</t>
  </si>
  <si>
    <t>90</t>
  </si>
  <si>
    <t>900-020VDVD</t>
  </si>
  <si>
    <t>91</t>
  </si>
  <si>
    <t>917862111R00</t>
  </si>
  <si>
    <t>59217003</t>
  </si>
  <si>
    <t>59217010</t>
  </si>
  <si>
    <t>918101111R00</t>
  </si>
  <si>
    <t>919735113R00</t>
  </si>
  <si>
    <t>914001121R00</t>
  </si>
  <si>
    <t>914001125R00</t>
  </si>
  <si>
    <t>40445050.A</t>
  </si>
  <si>
    <t>40445141.A</t>
  </si>
  <si>
    <t>915711111R00</t>
  </si>
  <si>
    <t>915721111R00</t>
  </si>
  <si>
    <t>960</t>
  </si>
  <si>
    <t>960-002VD</t>
  </si>
  <si>
    <t>S</t>
  </si>
  <si>
    <t>979082213R00</t>
  </si>
  <si>
    <t>979082219R00</t>
  </si>
  <si>
    <t>979084216R00</t>
  </si>
  <si>
    <t>979084219R00</t>
  </si>
  <si>
    <t>979990001R00</t>
  </si>
  <si>
    <t>979990112R00</t>
  </si>
  <si>
    <t>998225111R00</t>
  </si>
  <si>
    <t>59711538</t>
  </si>
  <si>
    <t>28611223.A</t>
  </si>
  <si>
    <t>592273032</t>
  </si>
  <si>
    <t>Ulice Husova, Hybešova - parkovací stání</t>
  </si>
  <si>
    <t>SO01 Ulice Husova</t>
  </si>
  <si>
    <t>Šlapanice</t>
  </si>
  <si>
    <t>Zkrácený popis / Varianta</t>
  </si>
  <si>
    <t>Rozměry</t>
  </si>
  <si>
    <t>Přípravné a přidružené práce</t>
  </si>
  <si>
    <t>Rozebrání dlažeb z betonových dlaždic na sucho</t>
  </si>
  <si>
    <t>41   předláždění chodníků</t>
  </si>
  <si>
    <t>Položka není určena pro rozebrání dlažeb uložených do betonového lože a pro rozebrání dlažeb z mozaiky uložených do cementové malty.V položce nejsou zakalkulovány náklady na popř. nutné očištění vybouraných betonových dlaždic.</t>
  </si>
  <si>
    <t>Odstranění podkladu nad 50 m2,kam.drcené tl.10 cm</t>
  </si>
  <si>
    <t>54,1   podkl. vrstvy vozovky</t>
  </si>
  <si>
    <t>Položka je určena i pro odstranění podkladů nebo krytů ze zemin stabilizovaných vápnem. Pro volbu položky z hlediska množství se uvažuje každá souvisle odstraňovaná plocha krytu nebo podkladu stejného druhu samostatně.Odstraňuje-li se několik vrstev vozovky najednou, jednotlivé vrstvy se oceňují každá samostatně.</t>
  </si>
  <si>
    <t>Odstranění podkladu nad 50 m2,kam.drcené tl.15 cm</t>
  </si>
  <si>
    <t>41   podkl. vrstva chodníku</t>
  </si>
  <si>
    <t>Odstranění podkladu nad 50 m2,kam.drcené tl.30 cm</t>
  </si>
  <si>
    <t>50   podkl.vrstvy vozovky</t>
  </si>
  <si>
    <t>Odstranění podkladu pl. nad 50 m2, živice tl.10 cm</t>
  </si>
  <si>
    <t>Položka není určena pro odstranění podkladu nebo krytu frézováním. Pro volbu položky z hlediska množství se uvažuje každá souvisle odstraňovaná plocha krytu nebo podkladu stejného druhu samostatně.Odstraňuje-li se několik vrstev vozovky najednou, jednotlivé vrstvy se oceňují každá samostatně.</t>
  </si>
  <si>
    <t>Fréz.živič.krytu nad 500 m2, s překážkami, tl.5 cm</t>
  </si>
  <si>
    <t>Vytrhání obrub z krajníků nebo obrubníků stojatých</t>
  </si>
  <si>
    <t>Odkopávky a prokopávky</t>
  </si>
  <si>
    <t>Sejmutí ornice s přemístěním přes 100 do 250 m</t>
  </si>
  <si>
    <t>121*0,2</t>
  </si>
  <si>
    <t>V položce je obsaženo i uložení na dočasnou skládku v příslušné vzdálenosti, pokud na 1 m2 skládky nepřipadá více jak 2 m3 ornice. V opačném případě se uložení musí dokalkulovat.</t>
  </si>
  <si>
    <t>Odkopávky pro silnice v hor. 3 do 1000 m3</t>
  </si>
  <si>
    <t>Příplatek za lepivost - odkop. pro silnice v hor.3</t>
  </si>
  <si>
    <t>88*0,5</t>
  </si>
  <si>
    <t>Do měrných jednotek se udává poměrné množství zeminy, které ulpí v nářadí a o které je snížen celkový výkon stroje.</t>
  </si>
  <si>
    <t>Hloubené vykopávky</t>
  </si>
  <si>
    <t>Hloubení šachet v hor.3 do 100 m3</t>
  </si>
  <si>
    <t>2*1,5*1,5*2,8   UV</t>
  </si>
  <si>
    <t>1,5*1,5*(1,8+2,1)   DV</t>
  </si>
  <si>
    <t>V položce je kalkulováno i svislé přemístění výkopku.</t>
  </si>
  <si>
    <t>Příplatek za lepivost - hloubení šachet v hor.3</t>
  </si>
  <si>
    <t>21,375*0,5</t>
  </si>
  <si>
    <t>Hloubení rýh š.do 200 cm hor.3 do 1000m3,STROJNĚ</t>
  </si>
  <si>
    <t>1,2*7,6*1,6+1,2*7,6*2,2   přípojky UV</t>
  </si>
  <si>
    <t>1,2*1,6*1,6+1,2*1,6*2,3   přípojky DV</t>
  </si>
  <si>
    <t>Položka obsahuje hloubení rýh traktorbagrem, naložení výkopku na dopravní prostředek pro svislé, nebo vodorovné přemístění, popř. přemístění výkopku do 3 m (po povrchu území), případné zajištění rypadel polštáři, udržování pracoviště a ochranu výkopiště proti stékání srážkové vody z okolního terénu i s jejím odvodněním, nebo odvedením, přesekání a odstranění kořenů ve výkopišti, odstranění napadávek, urovnání dna výkopu.</t>
  </si>
  <si>
    <t>Příplatek za lepivost - hloubení rýh 200cm v hor.3</t>
  </si>
  <si>
    <t>42,1*0,5</t>
  </si>
  <si>
    <t>Hloubení rýh š.do 60 cm v hor.3 do 50 m3, STROJNĚ</t>
  </si>
  <si>
    <t>0,35*0,25*88   drenáž</t>
  </si>
  <si>
    <t>Přípl.za lepivost,hloubení rýh 60 cm,hor.3,STROJNĚ</t>
  </si>
  <si>
    <t>7,7*0,5</t>
  </si>
  <si>
    <t>Roubení</t>
  </si>
  <si>
    <t>Pažení a rozepření stěn rýh - příložné - hl. do 2m</t>
  </si>
  <si>
    <t>2*(7,6*1,6+7,6*2,2)   přípojky UV</t>
  </si>
  <si>
    <t>2*(1,6*1,6+1,6*2,3)   přípojky DV</t>
  </si>
  <si>
    <t>Odstranění pažení a rozepření se oceňuje samostatně.</t>
  </si>
  <si>
    <t>Odstranění pažení stěn rýh - příložné - hl. do 2 m</t>
  </si>
  <si>
    <t>Pažení a rozepření stěn rýh - příložné - hl. do 4m</t>
  </si>
  <si>
    <t>1,5*2,8*4*2   UV</t>
  </si>
  <si>
    <t>1,5*1,8*4+1,5*2,1*4   DV</t>
  </si>
  <si>
    <t>Odstranění pažení stěn rýh - příložné - hl. do 4 m</t>
  </si>
  <si>
    <t>Přemístění výkopku</t>
  </si>
  <si>
    <t>Vodorovné přemístění výkopku z hor.1-4 do 500 m</t>
  </si>
  <si>
    <t>13,1   ornice</t>
  </si>
  <si>
    <t>Vodorovné přemístění výkopku z hor.1-4 do 10000 m</t>
  </si>
  <si>
    <t>88   odkopávky</t>
  </si>
  <si>
    <t>42,1+21,4+7,7   rýhy a šachty</t>
  </si>
  <si>
    <t>-27,2   násypy</t>
  </si>
  <si>
    <t>-53,5   zásypy</t>
  </si>
  <si>
    <t>Nakládání výkopku z hor.1-4 v množství do 100 m3</t>
  </si>
  <si>
    <t>Konstrukce ze zemin</t>
  </si>
  <si>
    <t>Zásyp jam, rýh, šachet se zhutněním</t>
  </si>
  <si>
    <t>42,1-1,2*0,3*(7,6+1,6)*2    přípojky DV</t>
  </si>
  <si>
    <t>21,4-2*0,6*0,6*2,78-0,6*0,6*(1,8+2,1)    DV</t>
  </si>
  <si>
    <t>Položka obsahuje strojní přemístění materiálu pro zásyp ze vzdálenosti do 10 m od okraje zásypu.</t>
  </si>
  <si>
    <t>Uložení sypaniny do násypů zhutněných na 96% PS</t>
  </si>
  <si>
    <t>Položka se používá pro násypy z hornin soudržných.</t>
  </si>
  <si>
    <t>Povrchové úpravy terénu</t>
  </si>
  <si>
    <t>Úprava pláně v zářezech v hor. 1-4, bez zhutnění</t>
  </si>
  <si>
    <t>222*0,5+10+10</t>
  </si>
  <si>
    <t>Úprava pláně v zářezech v hor. 1-4, se zhutněním</t>
  </si>
  <si>
    <t>41+357,65</t>
  </si>
  <si>
    <t>Položky jsou shodné i pro úpravu pláně v násypech.</t>
  </si>
  <si>
    <t>Výsev trávníku hydroosevem na ornici</t>
  </si>
  <si>
    <t>Rozprostření ornice, rovina, tl. 15-20 cm,do 500m2</t>
  </si>
  <si>
    <t>Položka se používá pro souvislé plochy do 500 m2.</t>
  </si>
  <si>
    <t>Hloubení pro podzemní stěny, ražení a hloubení důlní</t>
  </si>
  <si>
    <t>Poplatek za skládku horniny 1- 4</t>
  </si>
  <si>
    <t>70,8+7,70</t>
  </si>
  <si>
    <t>Úprava podloží a základové spáry</t>
  </si>
  <si>
    <t>Montáž trativodů z flexibilních trubek, lože</t>
  </si>
  <si>
    <t>Položka obsahuje štěrkopískové lože a obsyp v průměrném celkovém množství do 0,15 m3/m a montáž flexibilních trubek. Položka je určena pro práce v otevřeném výkopu. Pro práce ve štole se k položce používá příplatek 212 75 - 2192.</t>
  </si>
  <si>
    <t>Výplň odvodňov. trativodů kam. hrubě drcen. 16 mm</t>
  </si>
  <si>
    <t>Podkladní vrstvy komunikací a zpevněných ploch</t>
  </si>
  <si>
    <t>Podklad ze štěrkodrti po zhutnění tloušťky 15 cm</t>
  </si>
  <si>
    <t>41   chodník</t>
  </si>
  <si>
    <t>Podklad ze štěrkodrti po zhutnění tloušťky 20 cm</t>
  </si>
  <si>
    <t>309   vozovka</t>
  </si>
  <si>
    <t>(129+1,5+1,5+7)*0,35    rozšíření podkladu</t>
  </si>
  <si>
    <t>Podklad z obal kam.ACP 16+,ACP 22+,nad 3 m,tl.7 cm</t>
  </si>
  <si>
    <t>700   Vyrovnávací vrstva</t>
  </si>
  <si>
    <t>Podklad z obal kam.ACP 16+,ACP 22+,nad 3 m,tl.8 cm</t>
  </si>
  <si>
    <t>309    vozovka</t>
  </si>
  <si>
    <t>56   zapravení stáv. vozovky</t>
  </si>
  <si>
    <t>Podklad z kameniva zpev.cementem KZC 2 tl.15 cm</t>
  </si>
  <si>
    <t>Kryty štěrkových a živičných pozemních komunikací a zpevněných ploch</t>
  </si>
  <si>
    <t>Postřik živičný spojovací z asfaltu 0,5-0,7 kg/m2</t>
  </si>
  <si>
    <t>957,65+957,65</t>
  </si>
  <si>
    <t>Beton asfaltový ACO 11+, ACO 16+, nad 3 m, tl.5 cm</t>
  </si>
  <si>
    <t>1020   vozovka</t>
  </si>
  <si>
    <t>12,65   zapravení stáv. vozovky</t>
  </si>
  <si>
    <t>Dlažby a předlažby pozemních komunikací a zpevněných ploch</t>
  </si>
  <si>
    <t>Kladení zámkové dlažby tl. 6 cm do drtě tl. 4 cm</t>
  </si>
  <si>
    <t>41   předláždění chodníků z dlažby 10/20cm</t>
  </si>
  <si>
    <t>Od CÚ 2015/ II. není v jednotkové ceně započteno řezání dlaždic!!! Rozpočtuje se samostatnou položkou 596 29-1111.R00 Řezání zámkové dlažby tl. 60 mm. V položce jsou zakalkulovány i náklady na dodání hmot pro lože a na dodání materiálu na výplň spár. V položce nejsou zakalkulovány náklady na dodání zámkové dlažby, která se oceňuje ve specifikaci, ztratné se doporučuje ve výši 1%.</t>
  </si>
  <si>
    <t>Dlažba betonová 20x10x6 cm přírodní</t>
  </si>
  <si>
    <t>41-6,1</t>
  </si>
  <si>
    <t>;ztratné 1%; 0,349</t>
  </si>
  <si>
    <t>Impregnace Protect System IN</t>
  </si>
  <si>
    <t>Dlažba betonová hmatová 20x10x6 cm červená</t>
  </si>
  <si>
    <t>6,1</t>
  </si>
  <si>
    <t>;ztratné 1%; 0,061</t>
  </si>
  <si>
    <t>Tato užitečná specializovaná dlažba s výrazně tvarovaným povrchem HOLLAND SLP je určena jako doplněk ke všem typům zpevněných ploch tam, kde je nutno vést nevidomé a slabozraké spoluobčany určitým směrem, nebo je upozornit na změnu směru, přechod pro chodce, zastávku MHD, na vchod do budovy apod. Speciálně upravený povrch dlažby s výstupky je jednoznačně a nezaměnitelně zjistitelný hmatově – holí - i nášlapem, proto může pomoci při budování vodících pruhů a signálních pásů v rámci běžného dláždění pro chodce.  dodáváno včetně půlek (případně krajovek) Impregnace Protect System IN</t>
  </si>
  <si>
    <t>Trubní vedení</t>
  </si>
  <si>
    <t>Napojení přípojky jádrovým vývrtem</t>
  </si>
  <si>
    <t>Potrubí z trub kameninových</t>
  </si>
  <si>
    <t>Montáž trub kameninových, pryž. kroužek, DN 150</t>
  </si>
  <si>
    <t>2*7,6   přípojky UV</t>
  </si>
  <si>
    <t>2*1,6   přípojky DV</t>
  </si>
  <si>
    <t>Položka je určena pro montáž potrubí z trub kameninových těsněných pryžovým kroužkem v otevřeném výkopu ve sklonu do 20 %. V položce nejsou zakalkulovány náklady na dodání trub; tyto materiály se oceňují ve specifikaci. Ztratné se doporučuje ve výši 1,5 %.</t>
  </si>
  <si>
    <t>Trouba kameninová hrdlová DN 150, l=1,00 m</t>
  </si>
  <si>
    <t>18,4</t>
  </si>
  <si>
    <t>;ztratné 1,5%; 0,276</t>
  </si>
  <si>
    <t>otevřený výkop  FN 34 kN/m  v hrdle je vlepen těsnicí kroužek - materiál SBR kaučuk EPDM  trouba oboustranně glazována</t>
  </si>
  <si>
    <t>Koleno hrdlové 30° kamenina DN 150</t>
  </si>
  <si>
    <t>4*2</t>
  </si>
  <si>
    <t>;ztratné 1,5%; 0,12</t>
  </si>
  <si>
    <t>Ostatní konstrukce a práce na trubním vedení</t>
  </si>
  <si>
    <t>Zřízení vpusti uliční z dílců typ UVB - 50</t>
  </si>
  <si>
    <t>včetně dodávky dílců pro uliční vpusti TBV</t>
  </si>
  <si>
    <t>Položka je určena pro zřízení vpusti kanalizační uliční z betonových dílců. V položce jsou započteny i náklady na zřízení lože ze štěrkopísku. V položce jsou započteny i náklady na dodání betonových dílců a kameninových oblouků. V položce nejsou započteny náklady na dodání: a) litinové mříže; osazení mříží se oceňuje cenami souboru 89920 Osazení mříží litinových části A 01 tohoto sborníku; dodání mříží se oceňuje ve specifikaci, ztratné se nestanoví b) podkladního prstence; podkladní prstence se oceňují položkami souboru 45238 Podkladní a vyrovnávací konstrukce části A 01 tohoto sborníku.</t>
  </si>
  <si>
    <t>Osazení mříží litinových s rámem do 50 kg</t>
  </si>
  <si>
    <t>včetně dodání mříže lehké s rámem 300 x 300</t>
  </si>
  <si>
    <t>Položka je určena pro osazení mříží litinových včetně rámů a košů na bahno. V položkách jsou zakalkulovány náklady na dodání mříže lehké s rámem 300x300. V položce jsou zakalkulovány i náklady na cementovou maltu.</t>
  </si>
  <si>
    <t>Osazení mříží plastových s litinovým rámem do 100 kg</t>
  </si>
  <si>
    <t>Položka je určena pro osazení mříží litinových včetně rámů a košů na bahno. V položkách nejsou zakalkulovány náklady na dodání mříží, rámů a košů na bahno; Tyto náklady se oceňují ve specifikaci. Ztratné se nestanoví. V položce jsou zakalkulovány i náklady na cementovou maltu.</t>
  </si>
  <si>
    <t>Plastová mříž M 500 D s rámem</t>
  </si>
  <si>
    <t>Obetonování potrubí nebo zdiva stok betonem C12/15</t>
  </si>
  <si>
    <t>1,2*0,3*18,4</t>
  </si>
  <si>
    <t>Položka je určena pro obetonování potrubí v otevřeném výkopu, pro práce ve štole se k položce používá příplatek 89962-3192. Obetonování zdiva stok ve štole se oceňuje položkami 35931 Výplň za rubem cihelného zdiva stok části A 03 tohoto sborníku.</t>
  </si>
  <si>
    <t>Výšková úprava do 20 cm, zvýšení krytu šoupěte</t>
  </si>
  <si>
    <t>Výšková úprava do 20 cm, snížení krytu šoupěte</t>
  </si>
  <si>
    <t>Výšková úprava vstupu do 20 cm, zvýšení poklopu</t>
  </si>
  <si>
    <t>Zřízení vpusti dvorní z dílců kamenin., DN 300/100</t>
  </si>
  <si>
    <t>Položka je určena pro zřízení vpusti kanalizační dvorní z kameninových dílců. V položce jsou započteny i náklady na zřízení loiže ze štěrkopísku. V položce nejsou započteny náklady na: a) dodání kameninových dílců; kameninové dílce se oceňují ve specifikaci, ztratné se doporučuje ve výši 1,5 % b) litinové mříže; osazení mříží se oceňuje cenami souboru 89920 Osazení mříží litinových části A 01 tohoto sborníku; dodání mříží se oceňuje ve specifikaci, ztratné se nestanoví c) podkladní prstence; podkladní prstence se oceňují položkami souboru 45238 Podkladní a vyrovnávací konstrukce části A 01 tohoto sborníku.</t>
  </si>
  <si>
    <t>Hodinové zúčtovací sazby (HZS)</t>
  </si>
  <si>
    <t>Zálivka jednosložkovým asfaltem s polymer. modifikátory</t>
  </si>
  <si>
    <t xml:space="preserve">   napojení nového a stáv. krytu</t>
  </si>
  <si>
    <t>Doplňující konstrukce a práce na pozemních komunikacích a zpevněných plochách</t>
  </si>
  <si>
    <t>Osazení stojat. obrub.bet. s opěrou,lože z C 12/15</t>
  </si>
  <si>
    <t>272   silniční</t>
  </si>
  <si>
    <t>43   chodníkové</t>
  </si>
  <si>
    <t>Osazení betonového silničního nebo chodníkového obrubníku.</t>
  </si>
  <si>
    <t>Obrubník parkový betonový 80x250x1000 mm</t>
  </si>
  <si>
    <t>;ztratné 1%; 0,43</t>
  </si>
  <si>
    <t>povrch základní</t>
  </si>
  <si>
    <t>Obrubník silniční betonový 150x250x1000 mm</t>
  </si>
  <si>
    <t>272</t>
  </si>
  <si>
    <t>;ztratné 1%; 2,72</t>
  </si>
  <si>
    <t>Lože pod obrubníky nebo obruby dlažeb z C 12/15</t>
  </si>
  <si>
    <t>272*0,35*0,05</t>
  </si>
  <si>
    <t>Řezání stávajícího živičného krytu tl. 10 - 15 cm</t>
  </si>
  <si>
    <t>V položce jsou zakalkulovány i náklady na spotřebu vody.</t>
  </si>
  <si>
    <t>Osaz.sloupku dopr.značky vč. bet.základu+Al patka</t>
  </si>
  <si>
    <t>V položce započteno: výkop jamky s odhozem výkopku na vzdálenost do 3 m, osazení sloupku do monolitického betonového základu, osazení a montáž kotevní hliníkové patky, dodávka a osazení víčka ke sloupku.</t>
  </si>
  <si>
    <t>Osazení svislé dopr.značky na sloupek nebo konzolu</t>
  </si>
  <si>
    <t>Včetně dodávky upevňovadel.</t>
  </si>
  <si>
    <t>Značka dopr inf IP 11-13 500/700 fól1, EG7letá</t>
  </si>
  <si>
    <t>Typy a provedení dopravního značení jsou v souladu s příslušným zákonem a vyhláškou č. 30/2001 Sb. a jsou schváleny Ministerstvem dopravy a spojů k používání na pozemních komunikacích.  EG - Enginner Grade - reflexní fólie tř. 1 HlG  -  Hight Intensity Grade - reflexní fólie tř. 2 IP - Informativní dopravní značka provozní  štít z pozinkovaného plechu s dvojitým ohybem okraje po celém obvodu značky retroreflexní fólie  I. třídy 3M EG nebo podobná, záruka 7 let</t>
  </si>
  <si>
    <t>Značka dopr dodat E1,2a,b 500/500 fól 1, EG 7letá</t>
  </si>
  <si>
    <t>Typy a provedení dopravního značení jsou v souladu s příslušným zákonem a vyhláškou č. 30/2001 Sb. a jsou schváleny Ministerstvem dopravy a spojů k používání na pozemních komunikacích.  E - Dopravní značka - dodatková tabulka EG - Enginner Grade - reflexní fólie tř. 1  štít z pozinkovaného plechu s dvojitým ohybem okraje po celém obvodu značky retroreflexní fólie  I. třídy 3M EG nebo podobná, záruka 7 let</t>
  </si>
  <si>
    <t>Vodorovné značení dělících čar 12 cm střík.barvou</t>
  </si>
  <si>
    <t>2*20+1*25   značení parkovišť</t>
  </si>
  <si>
    <t>Vodorovné značení střík.barvou stopčar,zeber atd.</t>
  </si>
  <si>
    <t>1   symbol O1</t>
  </si>
  <si>
    <t xml:space="preserve"> vodních staveb</t>
  </si>
  <si>
    <t>Bourání dešťové vpusti vč, mříže</t>
  </si>
  <si>
    <t>Přesuny sutí</t>
  </si>
  <si>
    <t>Vodorovná doprava suti po suchu do 1 km</t>
  </si>
  <si>
    <t>135*0,22   živice</t>
  </si>
  <si>
    <t>54,1*0,22+41*0,33+50*0,66   kamenivo drcené</t>
  </si>
  <si>
    <t>715*0,11   frézování</t>
  </si>
  <si>
    <t>Příplatek za dopravu suti po suchu za další 1 km</t>
  </si>
  <si>
    <t>192,082*9</t>
  </si>
  <si>
    <t>Vodorovná doprava vybour. hmot po suchu do 5 km</t>
  </si>
  <si>
    <t>145*0,145   obrubníky</t>
  </si>
  <si>
    <t>Příplatek k dopravě vybour.hmot za dalších 5 km</t>
  </si>
  <si>
    <t>Poplatek za skládku stavební suti</t>
  </si>
  <si>
    <t>58,432+21,025</t>
  </si>
  <si>
    <t>Poplatek za skládku suti - obalované kam. - asfalt</t>
  </si>
  <si>
    <t>29,7+103,95</t>
  </si>
  <si>
    <t>Položka je určena pro suť o velikosti kusu do 30x30 cm (technologický materiál určený k recyklaci). .</t>
  </si>
  <si>
    <t>Přesun hmot, pozemní komunikace, kryt živičný</t>
  </si>
  <si>
    <t>Ostatní materiál</t>
  </si>
  <si>
    <t>Odbočka 45° kamenina hrdlová 150/100 FN 34/34</t>
  </si>
  <si>
    <t xml:space="preserve">   přípojka UV - drenáž</t>
  </si>
  <si>
    <t>KeraBase odbočky 45° pro normální zatížení.  Specif. 45° Profil DN 150/100 Délka 40 cm Třída pevnosti -  Mezní únosnost FN 34/34 kN/m Hmotnost 16 kg/ks Hrdlo LL</t>
  </si>
  <si>
    <t>Trubka PVC drenážní flexibilní d 100 mm</t>
  </si>
  <si>
    <t>88   drenáž</t>
  </si>
  <si>
    <t>objednací číslo: DXZ100</t>
  </si>
  <si>
    <t>ACO GALA dvorní vpust 300x300, B 125 kN</t>
  </si>
  <si>
    <t>10500  bodové odvodnění  protizápachový uzávěr a koš</t>
  </si>
  <si>
    <t>Doba výstavby:</t>
  </si>
  <si>
    <t>Začátek výstavby:</t>
  </si>
  <si>
    <t>Konec výstavby:</t>
  </si>
  <si>
    <t>Zpracováno dne:</t>
  </si>
  <si>
    <t> </t>
  </si>
  <si>
    <t>04.04.2018</t>
  </si>
  <si>
    <t>M.j.</t>
  </si>
  <si>
    <t>m2</t>
  </si>
  <si>
    <t>m</t>
  </si>
  <si>
    <t>m3</t>
  </si>
  <si>
    <t>kus</t>
  </si>
  <si>
    <t>t</t>
  </si>
  <si>
    <t>Množství</t>
  </si>
  <si>
    <t>Objednatel:</t>
  </si>
  <si>
    <t>Projektant:</t>
  </si>
  <si>
    <t>Zhotovitel:</t>
  </si>
  <si>
    <t>Zpracoval:</t>
  </si>
  <si>
    <t>Jednot.</t>
  </si>
  <si>
    <t>cena (Kč)</t>
  </si>
  <si>
    <t>Město Šlapanice</t>
  </si>
  <si>
    <t>Matula, projekční kancelář, Šumavská 15, Brno, 602</t>
  </si>
  <si>
    <t>Ing. Krejčíková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</si>
  <si>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</si>
  <si>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</si>
  <si>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</si>
  <si>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</si>
  <si>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</si>
  <si>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</si>
  <si>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</si>
  <si>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2017</t>
  </si>
  <si>
    <t>RTS II / 2018</t>
  </si>
  <si>
    <t>RTS 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</si>
  <si>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</si>
  <si>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</si>
  <si>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</si>
  <si>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</si>
  <si>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</si>
  <si>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</si>
  <si>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</si>
  <si>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</si>
  <si>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</si>
  <si>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</si>
  <si>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11_</t>
  </si>
  <si>
    <t>12_</t>
  </si>
  <si>
    <t>13_</t>
  </si>
  <si>
    <t>15_</t>
  </si>
  <si>
    <t>16_</t>
  </si>
  <si>
    <t>17_</t>
  </si>
  <si>
    <t>18_</t>
  </si>
  <si>
    <t>19_</t>
  </si>
  <si>
    <t>21_</t>
  </si>
  <si>
    <t>56_</t>
  </si>
  <si>
    <t>57_</t>
  </si>
  <si>
    <t>59_</t>
  </si>
  <si>
    <t>8_</t>
  </si>
  <si>
    <t>83_</t>
  </si>
  <si>
    <t>89_</t>
  </si>
  <si>
    <t>90_</t>
  </si>
  <si>
    <t>91_</t>
  </si>
  <si>
    <t>960_</t>
  </si>
  <si>
    <t>S_</t>
  </si>
  <si>
    <t>Z99999_</t>
  </si>
  <si>
    <t>1_</t>
  </si>
  <si>
    <t>2_</t>
  </si>
  <si>
    <t>5_</t>
  </si>
  <si>
    <t>9_</t>
  </si>
  <si>
    <t>Z_</t>
  </si>
  <si>
    <t>_</t>
  </si>
  <si>
    <t>MAT</t>
  </si>
  <si>
    <t>WORK</t>
  </si>
  <si>
    <t>CELK</t>
  </si>
  <si>
    <t>Slepý stavební rozpočet - rekapitulace</t>
  </si>
  <si>
    <t>Zkrácený popis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</si>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</sst>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58"/>
      <name val="Arial"/>
      <family val="0"/>
    </font>
    <font>
      <i/>
      <sz val="10"/>
      <color indexed="63"/>
      <name val="Arial"/>
      <family val="0"/>
    </font>
    <font>
      <sz val="10"/>
      <color indexed="59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34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4" fillId="2" borderId="7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8" fillId="2" borderId="7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9" fillId="0" borderId="1" xfId="0" applyNumberFormat="1" applyFont="1" applyFill="1" applyBorder="1" applyAlignment="1" applyProtection="1">
      <alignment horizontal="right" vertical="top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8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 horizontal="left" vertical="top" wrapText="1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8" fillId="2" borderId="7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8" fillId="2" borderId="7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7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8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7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49" fontId="12" fillId="0" borderId="33" xfId="0" applyNumberFormat="1" applyFont="1" applyFill="1" applyBorder="1" applyAlignment="1" applyProtection="1">
      <alignment horizontal="center" vertical="center"/>
      <protection/>
    </xf>
    <xf numFmtId="49" fontId="13" fillId="3" borderId="34" xfId="0" applyNumberFormat="1" applyFont="1" applyFill="1" applyBorder="1" applyAlignment="1" applyProtection="1">
      <alignment horizontal="center" vertical="center"/>
      <protection/>
    </xf>
    <xf numFmtId="49" fontId="14" fillId="0" borderId="35" xfId="0" applyNumberFormat="1" applyFont="1" applyFill="1" applyBorder="1" applyAlignment="1" applyProtection="1">
      <alignment horizontal="left" vertical="center"/>
      <protection/>
    </xf>
    <xf numFmtId="49" fontId="14" fillId="0" borderId="36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49" fontId="14" fillId="3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9" fontId="15" fillId="0" borderId="39" xfId="0" applyNumberFormat="1" applyFont="1" applyFill="1" applyBorder="1" applyAlignment="1" applyProtection="1">
      <alignment horizontal="left" vertical="center"/>
      <protection/>
    </xf>
    <xf numFmtId="49" fontId="15" fillId="0" borderId="27" xfId="0" applyNumberFormat="1" applyFont="1" applyFill="1" applyBorder="1" applyAlignment="1" applyProtection="1">
      <alignment horizontal="left" vertical="center"/>
      <protection/>
    </xf>
    <xf numFmtId="49" fontId="15" fillId="0" borderId="40" xfId="0" applyNumberFormat="1" applyFont="1" applyFill="1" applyBorder="1" applyAlignment="1" applyProtection="1">
      <alignment horizontal="left" vertical="center"/>
      <protection/>
    </xf>
    <xf numFmtId="49" fontId="7" fillId="0" borderId="7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49" fontId="16" fillId="0" borderId="37" xfId="0" applyNumberFormat="1" applyFont="1" applyFill="1" applyBorder="1" applyAlignment="1" applyProtection="1">
      <alignment horizontal="left" vertical="center"/>
      <protection/>
    </xf>
    <xf numFmtId="49" fontId="15" fillId="0" borderId="34" xfId="0" applyNumberFormat="1" applyFont="1" applyFill="1" applyBorder="1" applyAlignment="1" applyProtection="1">
      <alignment horizontal="left" vertical="center"/>
      <protection/>
    </xf>
    <xf numFmtId="0" fontId="14" fillId="0" borderId="41" xfId="0" applyNumberFormat="1" applyFont="1" applyFill="1" applyBorder="1" applyAlignment="1" applyProtection="1">
      <alignment horizontal="left" vertical="center"/>
      <protection/>
    </xf>
    <xf numFmtId="0" fontId="14" fillId="3" borderId="33" xfId="0" applyNumberFormat="1" applyFont="1" applyFill="1" applyBorder="1" applyAlignment="1" applyProtection="1">
      <alignment horizontal="left" vertical="center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9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5" fillId="0" borderId="42" xfId="0" applyNumberFormat="1" applyFont="1" applyFill="1" applyBorder="1" applyAlignment="1" applyProtection="1">
      <alignment horizontal="left" vertical="center"/>
      <protection/>
    </xf>
    <xf numFmtId="0" fontId="15" fillId="0" borderId="43" xfId="0" applyNumberFormat="1" applyFont="1" applyFill="1" applyBorder="1" applyAlignment="1" applyProtection="1">
      <alignment horizontal="left" vertical="center"/>
      <protection/>
    </xf>
    <xf numFmtId="0" fontId="15" fillId="0" borderId="44" xfId="0" applyNumberFormat="1" applyFont="1" applyFill="1" applyBorder="1" applyAlignment="1" applyProtection="1">
      <alignment horizontal="left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5" fillId="0" borderId="41" xfId="0" applyNumberFormat="1" applyFont="1" applyFill="1" applyBorder="1" applyAlignment="1" applyProtection="1">
      <alignment horizontal="left" vertical="center"/>
      <protection/>
    </xf>
    <xf numFmtId="4" fontId="15" fillId="0" borderId="34" xfId="0" applyNumberFormat="1" applyFont="1" applyFill="1" applyBorder="1" applyAlignment="1" applyProtection="1">
      <alignment horizontal="right" vertical="center"/>
      <protection/>
    </xf>
    <xf numFmtId="49" fontId="15" fillId="0" borderId="34" xfId="0" applyNumberFormat="1" applyFont="1" applyFill="1" applyBorder="1" applyAlignment="1" applyProtection="1">
      <alignment horizontal="right" vertical="center"/>
      <protection/>
    </xf>
    <xf numFmtId="4" fontId="15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4" fillId="3" borderId="41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49" fontId="2" fillId="0" borderId="1" xfId="0" applyNumberFormat="1" applyFont="1" applyFill="1" applyBorder="1" applyAlignment="1" applyProtection="1">
      <alignment horizont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26"/>
  <sheetViews>
    <sheetView tabSelected="1" workbookViewId="0" topLeftCell="A1">
      <pane ySplit="11" topLeftCell="A12" activePane="bottomLeft" state="frozen"/>
      <selection pane="bottomLeft" activeCell="A1" sqref="A1:L1"/>
    </sheetView>
  </sheetViews>
  <sheetFormatPr defaultColWidth="11.57421875" defaultRowHeight="12.75"/>
  <cols>
    <col min="1" max="1" width="3.7109375" customWidth="1"/>
    <col min="2" max="2" width="14.28125" customWidth="1"/>
    <col min="3" max="3" width="47.57421875" customWidth="1"/>
    <col min="6" max="6" width="4.28125" customWidth="1"/>
    <col min="7" max="7" width="12.8515625" customWidth="1"/>
    <col min="8" max="8" width="12.00390625" customWidth="1"/>
    <col min="9" max="11" width="14.28125" customWidth="1"/>
    <col min="12" max="12" width="11.7109375" customWidth="1"/>
    <col min="25" max="62" width="12.140625" hidden="1" customWidth="1"/>
  </cols>
  <sheetData>
    <row r="1" spans="1:12" ht="72.75" customHeight="1">
      <c r="A1" s="133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12.75">
      <c r="A2" s="3" t="s">
        <v>1</v>
      </c>
      <c r="B2" s="18"/>
      <c r="C2" s="27" t="s">
        <v>172</v>
      </c>
      <c r="D2" s="36" t="s">
        <v>378</v>
      </c>
      <c r="E2" s="18"/>
      <c r="F2" s="36" t="s">
        <v>6</v>
      </c>
      <c r="G2" s="18"/>
      <c r="H2" s="54" t="s">
        <v>391</v>
      </c>
      <c r="I2" s="54" t="s">
        <v>397</v>
      </c>
      <c r="J2" s="18"/>
      <c r="K2" s="18"/>
      <c r="L2" s="65"/>
      <c r="M2" s="74"/>
    </row>
    <row r="3" spans="1:13" ht="12.75">
      <c r="A3" s="4"/>
      <c r="B3" s="19"/>
      <c r="C3" s="28"/>
      <c r="D3" s="19"/>
      <c r="E3" s="19"/>
      <c r="F3" s="19"/>
      <c r="G3" s="19"/>
      <c r="H3" s="19"/>
      <c r="I3" s="19"/>
      <c r="J3" s="19"/>
      <c r="K3" s="19"/>
      <c r="L3" s="66"/>
      <c r="M3" s="74"/>
    </row>
    <row r="4" spans="1:13" ht="12.75">
      <c r="A4" s="5" t="s">
        <v>2</v>
      </c>
      <c r="B4" s="19"/>
      <c r="C4" s="16" t="s">
        <v>173</v>
      </c>
      <c r="D4" s="37" t="s">
        <v>379</v>
      </c>
      <c r="E4" s="19"/>
      <c r="F4" s="37" t="s">
        <v>382</v>
      </c>
      <c r="G4" s="19"/>
      <c r="H4" s="16" t="s">
        <v>392</v>
      </c>
      <c r="I4" s="16" t="s">
        <v>398</v>
      </c>
      <c r="J4" s="19"/>
      <c r="K4" s="19"/>
      <c r="L4" s="66"/>
      <c r="M4" s="74"/>
    </row>
    <row r="5" spans="1:13" ht="12.75">
      <c r="A5" s="4"/>
      <c r="B5" s="19"/>
      <c r="C5" s="19"/>
      <c r="D5" s="19"/>
      <c r="E5" s="19"/>
      <c r="F5" s="19"/>
      <c r="G5" s="19"/>
      <c r="H5" s="19"/>
      <c r="I5" s="19"/>
      <c r="J5" s="19"/>
      <c r="K5" s="19"/>
      <c r="L5" s="66"/>
      <c r="M5" s="74"/>
    </row>
    <row r="6" spans="1:13" ht="12.75">
      <c r="A6" s="5" t="s">
        <v>3</v>
      </c>
      <c r="B6" s="19"/>
      <c r="C6" s="16" t="s">
        <v>174</v>
      </c>
      <c r="D6" s="37" t="s">
        <v>380</v>
      </c>
      <c r="E6" s="19"/>
      <c r="F6" s="37" t="s">
        <v>382</v>
      </c>
      <c r="G6" s="19"/>
      <c r="H6" s="16" t="s">
        <v>393</v>
      </c>
      <c r="I6" s="29">
        <v>0</v>
      </c>
      <c r="J6" s="19"/>
      <c r="K6" s="19"/>
      <c r="L6" s="66"/>
      <c r="M6" s="74"/>
    </row>
    <row r="7" spans="1:13" ht="12.75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66"/>
      <c r="M7" s="74"/>
    </row>
    <row r="8" spans="1:13" ht="12.75">
      <c r="A8" s="5" t="s">
        <v>4</v>
      </c>
      <c r="B8" s="19"/>
      <c r="C8" s="29">
        <v>0</v>
      </c>
      <c r="D8" s="37" t="s">
        <v>381</v>
      </c>
      <c r="E8" s="19"/>
      <c r="F8" s="37" t="s">
        <v>383</v>
      </c>
      <c r="G8" s="19"/>
      <c r="H8" s="16" t="s">
        <v>394</v>
      </c>
      <c r="I8" s="16" t="s">
        <v>399</v>
      </c>
      <c r="J8" s="19"/>
      <c r="K8" s="19"/>
      <c r="L8" s="66"/>
      <c r="M8" s="74"/>
    </row>
    <row r="9" spans="1:13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67"/>
      <c r="M9" s="74"/>
    </row>
    <row r="10" spans="1:13" ht="12.75">
      <c r="A10" s="7" t="s">
        <v>5</v>
      </c>
      <c r="B10" s="21" t="s">
        <v>86</v>
      </c>
      <c r="C10" s="30" t="s">
        <v>175</v>
      </c>
      <c r="D10" s="38"/>
      <c r="E10" s="48"/>
      <c r="F10" s="21" t="s">
        <v>384</v>
      </c>
      <c r="G10" s="50" t="s">
        <v>390</v>
      </c>
      <c r="H10" s="55" t="s">
        <v>395</v>
      </c>
      <c r="I10" s="57" t="s">
        <v>400</v>
      </c>
      <c r="J10" s="60"/>
      <c r="K10" s="63"/>
      <c r="L10" s="68" t="s">
        <v>405</v>
      </c>
      <c r="M10" s="75"/>
    </row>
    <row r="11" spans="1:62" ht="12.75">
      <c r="A11" s="8" t="s">
        <v>6</v>
      </c>
      <c r="B11" s="22" t="s">
        <v>6</v>
      </c>
      <c r="C11" s="31" t="s">
        <v>176</v>
      </c>
      <c r="D11" s="39"/>
      <c r="E11" s="49"/>
      <c r="F11" s="22" t="s">
        <v>6</v>
      </c>
      <c r="G11" s="22" t="s">
        <v>6</v>
      </c>
      <c r="H11" s="56" t="s">
        <v>396</v>
      </c>
      <c r="I11" s="58" t="s">
        <v>401</v>
      </c>
      <c r="J11" s="61" t="s">
        <v>403</v>
      </c>
      <c r="K11" s="64" t="s">
        <v>404</v>
      </c>
      <c r="L11" s="69" t="s">
        <v>406</v>
      </c>
      <c r="M11" s="75"/>
      <c r="Z11" s="72" t="s">
        <v>410</v>
      </c>
      <c r="AA11" s="72" t="s">
        <v>411</v>
      </c>
      <c r="AB11" s="72" t="s">
        <v>412</v>
      </c>
      <c r="AC11" s="72" t="s">
        <v>413</v>
      </c>
      <c r="AD11" s="72" t="s">
        <v>414</v>
      </c>
      <c r="AE11" s="72" t="s">
        <v>415</v>
      </c>
      <c r="AF11" s="72" t="s">
        <v>416</v>
      </c>
      <c r="AG11" s="72" t="s">
        <v>417</v>
      </c>
      <c r="AH11" s="72" t="s">
        <v>418</v>
      </c>
      <c r="BH11" s="72" t="s">
        <v>446</v>
      </c>
      <c r="BI11" s="72" t="s">
        <v>447</v>
      </c>
      <c r="BJ11" s="72" t="s">
        <v>448</v>
      </c>
    </row>
    <row r="12" spans="1:47" ht="12.75">
      <c r="A12" s="9"/>
      <c r="B12" s="23" t="s">
        <v>17</v>
      </c>
      <c r="C12" s="23" t="s">
        <v>177</v>
      </c>
      <c r="D12" s="40"/>
      <c r="E12" s="40"/>
      <c r="F12" s="9" t="s">
        <v>6</v>
      </c>
      <c r="G12" s="9" t="s">
        <v>6</v>
      </c>
      <c r="H12" s="9" t="s">
        <v>6</v>
      </c>
      <c r="I12" s="78">
        <f>SUM(I13:I28)</f>
        <v>0</v>
      </c>
      <c r="J12" s="78">
        <f>SUM(J13:J28)</f>
        <v>0</v>
      </c>
      <c r="K12" s="78">
        <f>SUM(K13:K28)</f>
        <v>0</v>
      </c>
      <c r="L12" s="70"/>
      <c r="AI12" s="72"/>
      <c r="AS12" s="79">
        <f>SUM(AJ13:AJ28)</f>
        <v>0</v>
      </c>
      <c r="AT12" s="79">
        <f>SUM(AK13:AK28)</f>
        <v>0</v>
      </c>
      <c r="AU12" s="79">
        <f>SUM(AL13:AL28)</f>
        <v>0</v>
      </c>
    </row>
    <row r="13" spans="1:62" ht="12.75">
      <c r="A13" s="10" t="s">
        <v>7</v>
      </c>
      <c r="B13" s="10" t="s">
        <v>87</v>
      </c>
      <c r="C13" s="10" t="s">
        <v>178</v>
      </c>
      <c r="D13" s="41"/>
      <c r="E13" s="41"/>
      <c r="F13" s="10" t="s">
        <v>385</v>
      </c>
      <c r="G13" s="51">
        <v>41</v>
      </c>
      <c r="H13" s="51">
        <v>0</v>
      </c>
      <c r="I13" s="51">
        <f>G13*AO13</f>
        <v>0</v>
      </c>
      <c r="J13" s="51">
        <f>G13*AP13</f>
        <v>0</v>
      </c>
      <c r="K13" s="51">
        <f>G13*H13</f>
        <v>0</v>
      </c>
      <c r="L13" s="71" t="s">
        <v>407</v>
      </c>
      <c r="Z13" s="76">
        <f>IF(AQ13="5",BJ13,0)</f>
        <v>0</v>
      </c>
      <c r="AB13" s="76">
        <f>IF(AQ13="1",BH13,0)</f>
        <v>0</v>
      </c>
      <c r="AC13" s="76">
        <f>IF(AQ13="1",BI13,0)</f>
        <v>0</v>
      </c>
      <c r="AD13" s="76">
        <f>IF(AQ13="7",BH13,0)</f>
        <v>0</v>
      </c>
      <c r="AE13" s="76">
        <f>IF(AQ13="7",BI13,0)</f>
        <v>0</v>
      </c>
      <c r="AF13" s="76">
        <f>IF(AQ13="2",BH13,0)</f>
        <v>0</v>
      </c>
      <c r="AG13" s="76">
        <f>IF(AQ13="2",BI13,0)</f>
        <v>0</v>
      </c>
      <c r="AH13" s="76">
        <f>IF(AQ13="0",BJ13,0)</f>
        <v>0</v>
      </c>
      <c r="AI13" s="72"/>
      <c r="AJ13" s="51">
        <f>IF(AN13=0,K13,0)</f>
        <v>0</v>
      </c>
      <c r="AK13" s="51">
        <f>IF(AN13=15,K13,0)</f>
        <v>0</v>
      </c>
      <c r="AL13" s="51">
        <f>IF(AN13=21,K13,0)</f>
        <v>0</v>
      </c>
      <c r="AN13" s="76">
        <v>21</v>
      </c>
      <c r="AO13" s="76">
        <f>H13*0</f>
        <v>0</v>
      </c>
      <c r="AP13" s="76">
        <f>H13*(1-0)</f>
        <v>0</v>
      </c>
      <c r="AQ13" s="71" t="s">
        <v>7</v>
      </c>
      <c r="AV13" s="76">
        <f>AW13+AX13</f>
        <v>0</v>
      </c>
      <c r="AW13" s="76">
        <f>G13*AO13</f>
        <v>0</v>
      </c>
      <c r="AX13" s="76">
        <f>G13*AP13</f>
        <v>0</v>
      </c>
      <c r="AY13" s="77" t="s">
        <v>420</v>
      </c>
      <c r="AZ13" s="77" t="s">
        <v>440</v>
      </c>
      <c r="BA13" s="72" t="s">
        <v>445</v>
      </c>
      <c r="BC13" s="76">
        <f>AW13+AX13</f>
        <v>0</v>
      </c>
      <c r="BD13" s="76">
        <f>H13/(100-BE13)*100</f>
        <v>0</v>
      </c>
      <c r="BE13" s="76">
        <v>0</v>
      </c>
      <c r="BF13" s="76">
        <f>13</f>
        <v>13</v>
      </c>
      <c r="BH13" s="51">
        <f>G13*AO13</f>
        <v>0</v>
      </c>
      <c r="BI13" s="51">
        <f>G13*AP13</f>
        <v>0</v>
      </c>
      <c r="BJ13" s="51">
        <f>G13*H13</f>
        <v>0</v>
      </c>
    </row>
    <row r="14" spans="3:7" ht="12.75">
      <c r="C14" s="32" t="s">
        <v>179</v>
      </c>
      <c r="D14" s="42"/>
      <c r="E14" s="42"/>
      <c r="G14" s="52">
        <v>41</v>
      </c>
    </row>
    <row r="15" spans="2:12" ht="25.5" customHeight="1">
      <c r="B15" s="24" t="s">
        <v>88</v>
      </c>
      <c r="C15" s="33" t="s">
        <v>180</v>
      </c>
      <c r="D15" s="43"/>
      <c r="E15" s="43"/>
      <c r="F15" s="43"/>
      <c r="G15" s="43"/>
      <c r="H15" s="43"/>
      <c r="I15" s="43"/>
      <c r="J15" s="43"/>
      <c r="K15" s="43"/>
      <c r="L15" s="43"/>
    </row>
    <row r="16" spans="1:62" ht="12.75">
      <c r="A16" s="10" t="s">
        <v>8</v>
      </c>
      <c r="B16" s="10" t="s">
        <v>89</v>
      </c>
      <c r="C16" s="10" t="s">
        <v>181</v>
      </c>
      <c r="D16" s="41"/>
      <c r="E16" s="41"/>
      <c r="F16" s="10" t="s">
        <v>385</v>
      </c>
      <c r="G16" s="51">
        <v>54.1</v>
      </c>
      <c r="H16" s="51">
        <v>0</v>
      </c>
      <c r="I16" s="51">
        <f>G16*AO16</f>
        <v>0</v>
      </c>
      <c r="J16" s="51">
        <f>G16*AP16</f>
        <v>0</v>
      </c>
      <c r="K16" s="51">
        <f>G16*H16</f>
        <v>0</v>
      </c>
      <c r="L16" s="71" t="s">
        <v>407</v>
      </c>
      <c r="Z16" s="76">
        <f>IF(AQ16="5",BJ16,0)</f>
        <v>0</v>
      </c>
      <c r="AB16" s="76">
        <f>IF(AQ16="1",BH16,0)</f>
        <v>0</v>
      </c>
      <c r="AC16" s="76">
        <f>IF(AQ16="1",BI16,0)</f>
        <v>0</v>
      </c>
      <c r="AD16" s="76">
        <f>IF(AQ16="7",BH16,0)</f>
        <v>0</v>
      </c>
      <c r="AE16" s="76">
        <f>IF(AQ16="7",BI16,0)</f>
        <v>0</v>
      </c>
      <c r="AF16" s="76">
        <f>IF(AQ16="2",BH16,0)</f>
        <v>0</v>
      </c>
      <c r="AG16" s="76">
        <f>IF(AQ16="2",BI16,0)</f>
        <v>0</v>
      </c>
      <c r="AH16" s="76">
        <f>IF(AQ16="0",BJ16,0)</f>
        <v>0</v>
      </c>
      <c r="AI16" s="72"/>
      <c r="AJ16" s="51">
        <f>IF(AN16=0,K16,0)</f>
        <v>0</v>
      </c>
      <c r="AK16" s="51">
        <f>IF(AN16=15,K16,0)</f>
        <v>0</v>
      </c>
      <c r="AL16" s="51">
        <f>IF(AN16=21,K16,0)</f>
        <v>0</v>
      </c>
      <c r="AN16" s="76">
        <v>21</v>
      </c>
      <c r="AO16" s="76">
        <f>H16*0</f>
        <v>0</v>
      </c>
      <c r="AP16" s="76">
        <f>H16*(1-0)</f>
        <v>0</v>
      </c>
      <c r="AQ16" s="71" t="s">
        <v>7</v>
      </c>
      <c r="AV16" s="76">
        <f>AW16+AX16</f>
        <v>0</v>
      </c>
      <c r="AW16" s="76">
        <f>G16*AO16</f>
        <v>0</v>
      </c>
      <c r="AX16" s="76">
        <f>G16*AP16</f>
        <v>0</v>
      </c>
      <c r="AY16" s="77" t="s">
        <v>420</v>
      </c>
      <c r="AZ16" s="77" t="s">
        <v>440</v>
      </c>
      <c r="BA16" s="72" t="s">
        <v>445</v>
      </c>
      <c r="BC16" s="76">
        <f>AW16+AX16</f>
        <v>0</v>
      </c>
      <c r="BD16" s="76">
        <f>H16/(100-BE16)*100</f>
        <v>0</v>
      </c>
      <c r="BE16" s="76">
        <v>0</v>
      </c>
      <c r="BF16" s="76">
        <f>16</f>
        <v>16</v>
      </c>
      <c r="BH16" s="51">
        <f>G16*AO16</f>
        <v>0</v>
      </c>
      <c r="BI16" s="51">
        <f>G16*AP16</f>
        <v>0</v>
      </c>
      <c r="BJ16" s="51">
        <f>G16*H16</f>
        <v>0</v>
      </c>
    </row>
    <row r="17" spans="3:7" ht="12.75">
      <c r="C17" s="32" t="s">
        <v>182</v>
      </c>
      <c r="D17" s="42"/>
      <c r="E17" s="42"/>
      <c r="G17" s="52">
        <v>54.1</v>
      </c>
    </row>
    <row r="18" spans="2:12" ht="25.5" customHeight="1">
      <c r="B18" s="24" t="s">
        <v>88</v>
      </c>
      <c r="C18" s="33" t="s">
        <v>183</v>
      </c>
      <c r="D18" s="43"/>
      <c r="E18" s="43"/>
      <c r="F18" s="43"/>
      <c r="G18" s="43"/>
      <c r="H18" s="43"/>
      <c r="I18" s="43"/>
      <c r="J18" s="43"/>
      <c r="K18" s="43"/>
      <c r="L18" s="43"/>
    </row>
    <row r="19" spans="1:62" ht="12.75">
      <c r="A19" s="10" t="s">
        <v>9</v>
      </c>
      <c r="B19" s="10" t="s">
        <v>90</v>
      </c>
      <c r="C19" s="10" t="s">
        <v>184</v>
      </c>
      <c r="D19" s="41"/>
      <c r="E19" s="41"/>
      <c r="F19" s="10" t="s">
        <v>385</v>
      </c>
      <c r="G19" s="51">
        <v>41</v>
      </c>
      <c r="H19" s="51">
        <v>0</v>
      </c>
      <c r="I19" s="51">
        <f>G19*AO19</f>
        <v>0</v>
      </c>
      <c r="J19" s="51">
        <f>G19*AP19</f>
        <v>0</v>
      </c>
      <c r="K19" s="51">
        <f>G19*H19</f>
        <v>0</v>
      </c>
      <c r="L19" s="71" t="s">
        <v>407</v>
      </c>
      <c r="Z19" s="76">
        <f>IF(AQ19="5",BJ19,0)</f>
        <v>0</v>
      </c>
      <c r="AB19" s="76">
        <f>IF(AQ19="1",BH19,0)</f>
        <v>0</v>
      </c>
      <c r="AC19" s="76">
        <f>IF(AQ19="1",BI19,0)</f>
        <v>0</v>
      </c>
      <c r="AD19" s="76">
        <f>IF(AQ19="7",BH19,0)</f>
        <v>0</v>
      </c>
      <c r="AE19" s="76">
        <f>IF(AQ19="7",BI19,0)</f>
        <v>0</v>
      </c>
      <c r="AF19" s="76">
        <f>IF(AQ19="2",BH19,0)</f>
        <v>0</v>
      </c>
      <c r="AG19" s="76">
        <f>IF(AQ19="2",BI19,0)</f>
        <v>0</v>
      </c>
      <c r="AH19" s="76">
        <f>IF(AQ19="0",BJ19,0)</f>
        <v>0</v>
      </c>
      <c r="AI19" s="72"/>
      <c r="AJ19" s="51">
        <f>IF(AN19=0,K19,0)</f>
        <v>0</v>
      </c>
      <c r="AK19" s="51">
        <f>IF(AN19=15,K19,0)</f>
        <v>0</v>
      </c>
      <c r="AL19" s="51">
        <f>IF(AN19=21,K19,0)</f>
        <v>0</v>
      </c>
      <c r="AN19" s="76">
        <v>21</v>
      </c>
      <c r="AO19" s="76">
        <f>H19*0</f>
        <v>0</v>
      </c>
      <c r="AP19" s="76">
        <f>H19*(1-0)</f>
        <v>0</v>
      </c>
      <c r="AQ19" s="71" t="s">
        <v>7</v>
      </c>
      <c r="AV19" s="76">
        <f>AW19+AX19</f>
        <v>0</v>
      </c>
      <c r="AW19" s="76">
        <f>G19*AO19</f>
        <v>0</v>
      </c>
      <c r="AX19" s="76">
        <f>G19*AP19</f>
        <v>0</v>
      </c>
      <c r="AY19" s="77" t="s">
        <v>420</v>
      </c>
      <c r="AZ19" s="77" t="s">
        <v>440</v>
      </c>
      <c r="BA19" s="72" t="s">
        <v>445</v>
      </c>
      <c r="BC19" s="76">
        <f>AW19+AX19</f>
        <v>0</v>
      </c>
      <c r="BD19" s="76">
        <f>H19/(100-BE19)*100</f>
        <v>0</v>
      </c>
      <c r="BE19" s="76">
        <v>0</v>
      </c>
      <c r="BF19" s="76">
        <f>19</f>
        <v>19</v>
      </c>
      <c r="BH19" s="51">
        <f>G19*AO19</f>
        <v>0</v>
      </c>
      <c r="BI19" s="51">
        <f>G19*AP19</f>
        <v>0</v>
      </c>
      <c r="BJ19" s="51">
        <f>G19*H19</f>
        <v>0</v>
      </c>
    </row>
    <row r="20" spans="3:7" ht="12.75">
      <c r="C20" s="32" t="s">
        <v>185</v>
      </c>
      <c r="D20" s="42"/>
      <c r="E20" s="42"/>
      <c r="G20" s="52">
        <v>41</v>
      </c>
    </row>
    <row r="21" spans="2:12" ht="25.5" customHeight="1">
      <c r="B21" s="24" t="s">
        <v>88</v>
      </c>
      <c r="C21" s="33" t="s">
        <v>183</v>
      </c>
      <c r="D21" s="43"/>
      <c r="E21" s="43"/>
      <c r="F21" s="43"/>
      <c r="G21" s="43"/>
      <c r="H21" s="43"/>
      <c r="I21" s="43"/>
      <c r="J21" s="43"/>
      <c r="K21" s="43"/>
      <c r="L21" s="43"/>
    </row>
    <row r="22" spans="1:62" ht="12.75">
      <c r="A22" s="10" t="s">
        <v>10</v>
      </c>
      <c r="B22" s="10" t="s">
        <v>91</v>
      </c>
      <c r="C22" s="10" t="s">
        <v>186</v>
      </c>
      <c r="D22" s="41"/>
      <c r="E22" s="41"/>
      <c r="F22" s="10" t="s">
        <v>385</v>
      </c>
      <c r="G22" s="51">
        <v>50</v>
      </c>
      <c r="H22" s="51">
        <v>0</v>
      </c>
      <c r="I22" s="51">
        <f>G22*AO22</f>
        <v>0</v>
      </c>
      <c r="J22" s="51">
        <f>G22*AP22</f>
        <v>0</v>
      </c>
      <c r="K22" s="51">
        <f>G22*H22</f>
        <v>0</v>
      </c>
      <c r="L22" s="71" t="s">
        <v>407</v>
      </c>
      <c r="Z22" s="76">
        <f>IF(AQ22="5",BJ22,0)</f>
        <v>0</v>
      </c>
      <c r="AB22" s="76">
        <f>IF(AQ22="1",BH22,0)</f>
        <v>0</v>
      </c>
      <c r="AC22" s="76">
        <f>IF(AQ22="1",BI22,0)</f>
        <v>0</v>
      </c>
      <c r="AD22" s="76">
        <f>IF(AQ22="7",BH22,0)</f>
        <v>0</v>
      </c>
      <c r="AE22" s="76">
        <f>IF(AQ22="7",BI22,0)</f>
        <v>0</v>
      </c>
      <c r="AF22" s="76">
        <f>IF(AQ22="2",BH22,0)</f>
        <v>0</v>
      </c>
      <c r="AG22" s="76">
        <f>IF(AQ22="2",BI22,0)</f>
        <v>0</v>
      </c>
      <c r="AH22" s="76">
        <f>IF(AQ22="0",BJ22,0)</f>
        <v>0</v>
      </c>
      <c r="AI22" s="72"/>
      <c r="AJ22" s="51">
        <f>IF(AN22=0,K22,0)</f>
        <v>0</v>
      </c>
      <c r="AK22" s="51">
        <f>IF(AN22=15,K22,0)</f>
        <v>0</v>
      </c>
      <c r="AL22" s="51">
        <f>IF(AN22=21,K22,0)</f>
        <v>0</v>
      </c>
      <c r="AN22" s="76">
        <v>21</v>
      </c>
      <c r="AO22" s="76">
        <f>H22*0</f>
        <v>0</v>
      </c>
      <c r="AP22" s="76">
        <f>H22*(1-0)</f>
        <v>0</v>
      </c>
      <c r="AQ22" s="71" t="s">
        <v>7</v>
      </c>
      <c r="AV22" s="76">
        <f>AW22+AX22</f>
        <v>0</v>
      </c>
      <c r="AW22" s="76">
        <f>G22*AO22</f>
        <v>0</v>
      </c>
      <c r="AX22" s="76">
        <f>G22*AP22</f>
        <v>0</v>
      </c>
      <c r="AY22" s="77" t="s">
        <v>420</v>
      </c>
      <c r="AZ22" s="77" t="s">
        <v>440</v>
      </c>
      <c r="BA22" s="72" t="s">
        <v>445</v>
      </c>
      <c r="BC22" s="76">
        <f>AW22+AX22</f>
        <v>0</v>
      </c>
      <c r="BD22" s="76">
        <f>H22/(100-BE22)*100</f>
        <v>0</v>
      </c>
      <c r="BE22" s="76">
        <v>0</v>
      </c>
      <c r="BF22" s="76">
        <f>22</f>
        <v>22</v>
      </c>
      <c r="BH22" s="51">
        <f>G22*AO22</f>
        <v>0</v>
      </c>
      <c r="BI22" s="51">
        <f>G22*AP22</f>
        <v>0</v>
      </c>
      <c r="BJ22" s="51">
        <f>G22*H22</f>
        <v>0</v>
      </c>
    </row>
    <row r="23" spans="3:7" ht="12.75">
      <c r="C23" s="32" t="s">
        <v>187</v>
      </c>
      <c r="D23" s="42"/>
      <c r="E23" s="42"/>
      <c r="G23" s="52">
        <v>50</v>
      </c>
    </row>
    <row r="24" spans="2:12" ht="25.5" customHeight="1">
      <c r="B24" s="24" t="s">
        <v>88</v>
      </c>
      <c r="C24" s="33" t="s">
        <v>183</v>
      </c>
      <c r="D24" s="43"/>
      <c r="E24" s="43"/>
      <c r="F24" s="43"/>
      <c r="G24" s="43"/>
      <c r="H24" s="43"/>
      <c r="I24" s="43"/>
      <c r="J24" s="43"/>
      <c r="K24" s="43"/>
      <c r="L24" s="43"/>
    </row>
    <row r="25" spans="1:62" ht="12.75">
      <c r="A25" s="10" t="s">
        <v>11</v>
      </c>
      <c r="B25" s="10" t="s">
        <v>92</v>
      </c>
      <c r="C25" s="10" t="s">
        <v>188</v>
      </c>
      <c r="D25" s="41"/>
      <c r="E25" s="41"/>
      <c r="F25" s="10" t="s">
        <v>385</v>
      </c>
      <c r="G25" s="51">
        <v>135</v>
      </c>
      <c r="H25" s="51">
        <v>0</v>
      </c>
      <c r="I25" s="51">
        <f>G25*AO25</f>
        <v>0</v>
      </c>
      <c r="J25" s="51">
        <f>G25*AP25</f>
        <v>0</v>
      </c>
      <c r="K25" s="51">
        <f>G25*H25</f>
        <v>0</v>
      </c>
      <c r="L25" s="71" t="s">
        <v>407</v>
      </c>
      <c r="Z25" s="76">
        <f>IF(AQ25="5",BJ25,0)</f>
        <v>0</v>
      </c>
      <c r="AB25" s="76">
        <f>IF(AQ25="1",BH25,0)</f>
        <v>0</v>
      </c>
      <c r="AC25" s="76">
        <f>IF(AQ25="1",BI25,0)</f>
        <v>0</v>
      </c>
      <c r="AD25" s="76">
        <f>IF(AQ25="7",BH25,0)</f>
        <v>0</v>
      </c>
      <c r="AE25" s="76">
        <f>IF(AQ25="7",BI25,0)</f>
        <v>0</v>
      </c>
      <c r="AF25" s="76">
        <f>IF(AQ25="2",BH25,0)</f>
        <v>0</v>
      </c>
      <c r="AG25" s="76">
        <f>IF(AQ25="2",BI25,0)</f>
        <v>0</v>
      </c>
      <c r="AH25" s="76">
        <f>IF(AQ25="0",BJ25,0)</f>
        <v>0</v>
      </c>
      <c r="AI25" s="72"/>
      <c r="AJ25" s="51">
        <f>IF(AN25=0,K25,0)</f>
        <v>0</v>
      </c>
      <c r="AK25" s="51">
        <f>IF(AN25=15,K25,0)</f>
        <v>0</v>
      </c>
      <c r="AL25" s="51">
        <f>IF(AN25=21,K25,0)</f>
        <v>0</v>
      </c>
      <c r="AN25" s="76">
        <v>21</v>
      </c>
      <c r="AO25" s="76">
        <f>H25*0</f>
        <v>0</v>
      </c>
      <c r="AP25" s="76">
        <f>H25*(1-0)</f>
        <v>0</v>
      </c>
      <c r="AQ25" s="71" t="s">
        <v>7</v>
      </c>
      <c r="AV25" s="76">
        <f>AW25+AX25</f>
        <v>0</v>
      </c>
      <c r="AW25" s="76">
        <f>G25*AO25</f>
        <v>0</v>
      </c>
      <c r="AX25" s="76">
        <f>G25*AP25</f>
        <v>0</v>
      </c>
      <c r="AY25" s="77" t="s">
        <v>420</v>
      </c>
      <c r="AZ25" s="77" t="s">
        <v>440</v>
      </c>
      <c r="BA25" s="72" t="s">
        <v>445</v>
      </c>
      <c r="BC25" s="76">
        <f>AW25+AX25</f>
        <v>0</v>
      </c>
      <c r="BD25" s="76">
        <f>H25/(100-BE25)*100</f>
        <v>0</v>
      </c>
      <c r="BE25" s="76">
        <v>0</v>
      </c>
      <c r="BF25" s="76">
        <f>25</f>
        <v>25</v>
      </c>
      <c r="BH25" s="51">
        <f>G25*AO25</f>
        <v>0</v>
      </c>
      <c r="BI25" s="51">
        <f>G25*AP25</f>
        <v>0</v>
      </c>
      <c r="BJ25" s="51">
        <f>G25*H25</f>
        <v>0</v>
      </c>
    </row>
    <row r="26" spans="2:12" ht="25.5" customHeight="1">
      <c r="B26" s="24" t="s">
        <v>88</v>
      </c>
      <c r="C26" s="33" t="s">
        <v>189</v>
      </c>
      <c r="D26" s="43"/>
      <c r="E26" s="43"/>
      <c r="F26" s="43"/>
      <c r="G26" s="43"/>
      <c r="H26" s="43"/>
      <c r="I26" s="43"/>
      <c r="J26" s="43"/>
      <c r="K26" s="43"/>
      <c r="L26" s="43"/>
    </row>
    <row r="27" spans="1:62" ht="12.75">
      <c r="A27" s="10" t="s">
        <v>12</v>
      </c>
      <c r="B27" s="10" t="s">
        <v>93</v>
      </c>
      <c r="C27" s="10" t="s">
        <v>190</v>
      </c>
      <c r="D27" s="41"/>
      <c r="E27" s="41"/>
      <c r="F27" s="10" t="s">
        <v>385</v>
      </c>
      <c r="G27" s="51">
        <v>715</v>
      </c>
      <c r="H27" s="51">
        <v>0</v>
      </c>
      <c r="I27" s="51">
        <f>G27*AO27</f>
        <v>0</v>
      </c>
      <c r="J27" s="51">
        <f>G27*AP27</f>
        <v>0</v>
      </c>
      <c r="K27" s="51">
        <f>G27*H27</f>
        <v>0</v>
      </c>
      <c r="L27" s="71" t="s">
        <v>407</v>
      </c>
      <c r="Z27" s="76">
        <f>IF(AQ27="5",BJ27,0)</f>
        <v>0</v>
      </c>
      <c r="AB27" s="76">
        <f>IF(AQ27="1",BH27,0)</f>
        <v>0</v>
      </c>
      <c r="AC27" s="76">
        <f>IF(AQ27="1",BI27,0)</f>
        <v>0</v>
      </c>
      <c r="AD27" s="76">
        <f>IF(AQ27="7",BH27,0)</f>
        <v>0</v>
      </c>
      <c r="AE27" s="76">
        <f>IF(AQ27="7",BI27,0)</f>
        <v>0</v>
      </c>
      <c r="AF27" s="76">
        <f>IF(AQ27="2",BH27,0)</f>
        <v>0</v>
      </c>
      <c r="AG27" s="76">
        <f>IF(AQ27="2",BI27,0)</f>
        <v>0</v>
      </c>
      <c r="AH27" s="76">
        <f>IF(AQ27="0",BJ27,0)</f>
        <v>0</v>
      </c>
      <c r="AI27" s="72"/>
      <c r="AJ27" s="51">
        <f>IF(AN27=0,K27,0)</f>
        <v>0</v>
      </c>
      <c r="AK27" s="51">
        <f>IF(AN27=15,K27,0)</f>
        <v>0</v>
      </c>
      <c r="AL27" s="51">
        <f>IF(AN27=21,K27,0)</f>
        <v>0</v>
      </c>
      <c r="AN27" s="76">
        <v>21</v>
      </c>
      <c r="AO27" s="76">
        <f>H27*0</f>
        <v>0</v>
      </c>
      <c r="AP27" s="76">
        <f>H27*(1-0)</f>
        <v>0</v>
      </c>
      <c r="AQ27" s="71" t="s">
        <v>7</v>
      </c>
      <c r="AV27" s="76">
        <f>AW27+AX27</f>
        <v>0</v>
      </c>
      <c r="AW27" s="76">
        <f>G27*AO27</f>
        <v>0</v>
      </c>
      <c r="AX27" s="76">
        <f>G27*AP27</f>
        <v>0</v>
      </c>
      <c r="AY27" s="77" t="s">
        <v>420</v>
      </c>
      <c r="AZ27" s="77" t="s">
        <v>440</v>
      </c>
      <c r="BA27" s="72" t="s">
        <v>445</v>
      </c>
      <c r="BC27" s="76">
        <f>AW27+AX27</f>
        <v>0</v>
      </c>
      <c r="BD27" s="76">
        <f>H27/(100-BE27)*100</f>
        <v>0</v>
      </c>
      <c r="BE27" s="76">
        <v>0</v>
      </c>
      <c r="BF27" s="76">
        <f>27</f>
        <v>27</v>
      </c>
      <c r="BH27" s="51">
        <f>G27*AO27</f>
        <v>0</v>
      </c>
      <c r="BI27" s="51">
        <f>G27*AP27</f>
        <v>0</v>
      </c>
      <c r="BJ27" s="51">
        <f>G27*H27</f>
        <v>0</v>
      </c>
    </row>
    <row r="28" spans="1:62" ht="12.75">
      <c r="A28" s="10" t="s">
        <v>13</v>
      </c>
      <c r="B28" s="10" t="s">
        <v>94</v>
      </c>
      <c r="C28" s="10" t="s">
        <v>191</v>
      </c>
      <c r="D28" s="41"/>
      <c r="E28" s="41"/>
      <c r="F28" s="10" t="s">
        <v>386</v>
      </c>
      <c r="G28" s="51">
        <v>190</v>
      </c>
      <c r="H28" s="51">
        <v>0</v>
      </c>
      <c r="I28" s="51">
        <f>G28*AO28</f>
        <v>0</v>
      </c>
      <c r="J28" s="51">
        <f>G28*AP28</f>
        <v>0</v>
      </c>
      <c r="K28" s="51">
        <f>G28*H28</f>
        <v>0</v>
      </c>
      <c r="L28" s="71" t="s">
        <v>407</v>
      </c>
      <c r="Z28" s="76">
        <f>IF(AQ28="5",BJ28,0)</f>
        <v>0</v>
      </c>
      <c r="AB28" s="76">
        <f>IF(AQ28="1",BH28,0)</f>
        <v>0</v>
      </c>
      <c r="AC28" s="76">
        <f>IF(AQ28="1",BI28,0)</f>
        <v>0</v>
      </c>
      <c r="AD28" s="76">
        <f>IF(AQ28="7",BH28,0)</f>
        <v>0</v>
      </c>
      <c r="AE28" s="76">
        <f>IF(AQ28="7",BI28,0)</f>
        <v>0</v>
      </c>
      <c r="AF28" s="76">
        <f>IF(AQ28="2",BH28,0)</f>
        <v>0</v>
      </c>
      <c r="AG28" s="76">
        <f>IF(AQ28="2",BI28,0)</f>
        <v>0</v>
      </c>
      <c r="AH28" s="76">
        <f>IF(AQ28="0",BJ28,0)</f>
        <v>0</v>
      </c>
      <c r="AI28" s="72"/>
      <c r="AJ28" s="51">
        <f>IF(AN28=0,K28,0)</f>
        <v>0</v>
      </c>
      <c r="AK28" s="51">
        <f>IF(AN28=15,K28,0)</f>
        <v>0</v>
      </c>
      <c r="AL28" s="51">
        <f>IF(AN28=21,K28,0)</f>
        <v>0</v>
      </c>
      <c r="AN28" s="76">
        <v>21</v>
      </c>
      <c r="AO28" s="76">
        <f>H28*0</f>
        <v>0</v>
      </c>
      <c r="AP28" s="76">
        <f>H28*(1-0)</f>
        <v>0</v>
      </c>
      <c r="AQ28" s="71" t="s">
        <v>7</v>
      </c>
      <c r="AV28" s="76">
        <f>AW28+AX28</f>
        <v>0</v>
      </c>
      <c r="AW28" s="76">
        <f>G28*AO28</f>
        <v>0</v>
      </c>
      <c r="AX28" s="76">
        <f>G28*AP28</f>
        <v>0</v>
      </c>
      <c r="AY28" s="77" t="s">
        <v>420</v>
      </c>
      <c r="AZ28" s="77" t="s">
        <v>440</v>
      </c>
      <c r="BA28" s="72" t="s">
        <v>445</v>
      </c>
      <c r="BC28" s="76">
        <f>AW28+AX28</f>
        <v>0</v>
      </c>
      <c r="BD28" s="76">
        <f>H28/(100-BE28)*100</f>
        <v>0</v>
      </c>
      <c r="BE28" s="76">
        <v>0</v>
      </c>
      <c r="BF28" s="76">
        <f>28</f>
        <v>28</v>
      </c>
      <c r="BH28" s="51">
        <f>G28*AO28</f>
        <v>0</v>
      </c>
      <c r="BI28" s="51">
        <f>G28*AP28</f>
        <v>0</v>
      </c>
      <c r="BJ28" s="51">
        <f>G28*H28</f>
        <v>0</v>
      </c>
    </row>
    <row r="29" spans="1:47" ht="12.75">
      <c r="A29" s="11"/>
      <c r="B29" s="25" t="s">
        <v>18</v>
      </c>
      <c r="C29" s="25" t="s">
        <v>192</v>
      </c>
      <c r="D29" s="44"/>
      <c r="E29" s="44"/>
      <c r="F29" s="11" t="s">
        <v>6</v>
      </c>
      <c r="G29" s="11" t="s">
        <v>6</v>
      </c>
      <c r="H29" s="11" t="s">
        <v>6</v>
      </c>
      <c r="I29" s="79">
        <f>SUM(I30:I34)</f>
        <v>0</v>
      </c>
      <c r="J29" s="79">
        <f>SUM(J30:J34)</f>
        <v>0</v>
      </c>
      <c r="K29" s="79">
        <f>SUM(K30:K34)</f>
        <v>0</v>
      </c>
      <c r="L29" s="72"/>
      <c r="AI29" s="72"/>
      <c r="AS29" s="79">
        <f>SUM(AJ30:AJ34)</f>
        <v>0</v>
      </c>
      <c r="AT29" s="79">
        <f>SUM(AK30:AK34)</f>
        <v>0</v>
      </c>
      <c r="AU29" s="79">
        <f>SUM(AL30:AL34)</f>
        <v>0</v>
      </c>
    </row>
    <row r="30" spans="1:62" ht="12.75">
      <c r="A30" s="10" t="s">
        <v>14</v>
      </c>
      <c r="B30" s="10" t="s">
        <v>95</v>
      </c>
      <c r="C30" s="10" t="s">
        <v>193</v>
      </c>
      <c r="D30" s="41"/>
      <c r="E30" s="41"/>
      <c r="F30" s="10" t="s">
        <v>387</v>
      </c>
      <c r="G30" s="51">
        <v>24.2</v>
      </c>
      <c r="H30" s="51">
        <v>0</v>
      </c>
      <c r="I30" s="51">
        <f>G30*AO30</f>
        <v>0</v>
      </c>
      <c r="J30" s="51">
        <f>G30*AP30</f>
        <v>0</v>
      </c>
      <c r="K30" s="51">
        <f>G30*H30</f>
        <v>0</v>
      </c>
      <c r="L30" s="71" t="s">
        <v>407</v>
      </c>
      <c r="Z30" s="76">
        <f>IF(AQ30="5",BJ30,0)</f>
        <v>0</v>
      </c>
      <c r="AB30" s="76">
        <f>IF(AQ30="1",BH30,0)</f>
        <v>0</v>
      </c>
      <c r="AC30" s="76">
        <f>IF(AQ30="1",BI30,0)</f>
        <v>0</v>
      </c>
      <c r="AD30" s="76">
        <f>IF(AQ30="7",BH30,0)</f>
        <v>0</v>
      </c>
      <c r="AE30" s="76">
        <f>IF(AQ30="7",BI30,0)</f>
        <v>0</v>
      </c>
      <c r="AF30" s="76">
        <f>IF(AQ30="2",BH30,0)</f>
        <v>0</v>
      </c>
      <c r="AG30" s="76">
        <f>IF(AQ30="2",BI30,0)</f>
        <v>0</v>
      </c>
      <c r="AH30" s="76">
        <f>IF(AQ30="0",BJ30,0)</f>
        <v>0</v>
      </c>
      <c r="AI30" s="72"/>
      <c r="AJ30" s="51">
        <f>IF(AN30=0,K30,0)</f>
        <v>0</v>
      </c>
      <c r="AK30" s="51">
        <f>IF(AN30=15,K30,0)</f>
        <v>0</v>
      </c>
      <c r="AL30" s="51">
        <f>IF(AN30=21,K30,0)</f>
        <v>0</v>
      </c>
      <c r="AN30" s="76">
        <v>21</v>
      </c>
      <c r="AO30" s="76">
        <f>H30*0</f>
        <v>0</v>
      </c>
      <c r="AP30" s="76">
        <f>H30*(1-0)</f>
        <v>0</v>
      </c>
      <c r="AQ30" s="71" t="s">
        <v>7</v>
      </c>
      <c r="AV30" s="76">
        <f>AW30+AX30</f>
        <v>0</v>
      </c>
      <c r="AW30" s="76">
        <f>G30*AO30</f>
        <v>0</v>
      </c>
      <c r="AX30" s="76">
        <f>G30*AP30</f>
        <v>0</v>
      </c>
      <c r="AY30" s="77" t="s">
        <v>421</v>
      </c>
      <c r="AZ30" s="77" t="s">
        <v>440</v>
      </c>
      <c r="BA30" s="72" t="s">
        <v>445</v>
      </c>
      <c r="BC30" s="76">
        <f>AW30+AX30</f>
        <v>0</v>
      </c>
      <c r="BD30" s="76">
        <f>H30/(100-BE30)*100</f>
        <v>0</v>
      </c>
      <c r="BE30" s="76">
        <v>0</v>
      </c>
      <c r="BF30" s="76">
        <f>30</f>
        <v>30</v>
      </c>
      <c r="BH30" s="51">
        <f>G30*AO30</f>
        <v>0</v>
      </c>
      <c r="BI30" s="51">
        <f>G30*AP30</f>
        <v>0</v>
      </c>
      <c r="BJ30" s="51">
        <f>G30*H30</f>
        <v>0</v>
      </c>
    </row>
    <row r="31" spans="3:7" ht="12.75">
      <c r="C31" s="32" t="s">
        <v>194</v>
      </c>
      <c r="D31" s="42"/>
      <c r="E31" s="42"/>
      <c r="G31" s="52">
        <v>24.2</v>
      </c>
    </row>
    <row r="32" spans="2:12" ht="12.75">
      <c r="B32" s="24" t="s">
        <v>88</v>
      </c>
      <c r="C32" s="33" t="s">
        <v>195</v>
      </c>
      <c r="D32" s="43"/>
      <c r="E32" s="43"/>
      <c r="F32" s="43"/>
      <c r="G32" s="43"/>
      <c r="H32" s="43"/>
      <c r="I32" s="43"/>
      <c r="J32" s="43"/>
      <c r="K32" s="43"/>
      <c r="L32" s="43"/>
    </row>
    <row r="33" spans="1:62" ht="12.75">
      <c r="A33" s="10" t="s">
        <v>15</v>
      </c>
      <c r="B33" s="10" t="s">
        <v>96</v>
      </c>
      <c r="C33" s="10" t="s">
        <v>196</v>
      </c>
      <c r="D33" s="41"/>
      <c r="E33" s="41"/>
      <c r="F33" s="10" t="s">
        <v>387</v>
      </c>
      <c r="G33" s="51">
        <v>88</v>
      </c>
      <c r="H33" s="51">
        <v>0</v>
      </c>
      <c r="I33" s="51">
        <f>G33*AO33</f>
        <v>0</v>
      </c>
      <c r="J33" s="51">
        <f>G33*AP33</f>
        <v>0</v>
      </c>
      <c r="K33" s="51">
        <f>G33*H33</f>
        <v>0</v>
      </c>
      <c r="L33" s="71" t="s">
        <v>407</v>
      </c>
      <c r="Z33" s="76">
        <f>IF(AQ33="5",BJ33,0)</f>
        <v>0</v>
      </c>
      <c r="AB33" s="76">
        <f>IF(AQ33="1",BH33,0)</f>
        <v>0</v>
      </c>
      <c r="AC33" s="76">
        <f>IF(AQ33="1",BI33,0)</f>
        <v>0</v>
      </c>
      <c r="AD33" s="76">
        <f>IF(AQ33="7",BH33,0)</f>
        <v>0</v>
      </c>
      <c r="AE33" s="76">
        <f>IF(AQ33="7",BI33,0)</f>
        <v>0</v>
      </c>
      <c r="AF33" s="76">
        <f>IF(AQ33="2",BH33,0)</f>
        <v>0</v>
      </c>
      <c r="AG33" s="76">
        <f>IF(AQ33="2",BI33,0)</f>
        <v>0</v>
      </c>
      <c r="AH33" s="76">
        <f>IF(AQ33="0",BJ33,0)</f>
        <v>0</v>
      </c>
      <c r="AI33" s="72"/>
      <c r="AJ33" s="51">
        <f>IF(AN33=0,K33,0)</f>
        <v>0</v>
      </c>
      <c r="AK33" s="51">
        <f>IF(AN33=15,K33,0)</f>
        <v>0</v>
      </c>
      <c r="AL33" s="51">
        <f>IF(AN33=21,K33,0)</f>
        <v>0</v>
      </c>
      <c r="AN33" s="76">
        <v>21</v>
      </c>
      <c r="AO33" s="76">
        <f>H33*0</f>
        <v>0</v>
      </c>
      <c r="AP33" s="76">
        <f>H33*(1-0)</f>
        <v>0</v>
      </c>
      <c r="AQ33" s="71" t="s">
        <v>7</v>
      </c>
      <c r="AV33" s="76">
        <f>AW33+AX33</f>
        <v>0</v>
      </c>
      <c r="AW33" s="76">
        <f>G33*AO33</f>
        <v>0</v>
      </c>
      <c r="AX33" s="76">
        <f>G33*AP33</f>
        <v>0</v>
      </c>
      <c r="AY33" s="77" t="s">
        <v>421</v>
      </c>
      <c r="AZ33" s="77" t="s">
        <v>440</v>
      </c>
      <c r="BA33" s="72" t="s">
        <v>445</v>
      </c>
      <c r="BC33" s="76">
        <f>AW33+AX33</f>
        <v>0</v>
      </c>
      <c r="BD33" s="76">
        <f>H33/(100-BE33)*100</f>
        <v>0</v>
      </c>
      <c r="BE33" s="76">
        <v>0</v>
      </c>
      <c r="BF33" s="76">
        <f>33</f>
        <v>33</v>
      </c>
      <c r="BH33" s="51">
        <f>G33*AO33</f>
        <v>0</v>
      </c>
      <c r="BI33" s="51">
        <f>G33*AP33</f>
        <v>0</v>
      </c>
      <c r="BJ33" s="51">
        <f>G33*H33</f>
        <v>0</v>
      </c>
    </row>
    <row r="34" spans="1:62" ht="12.75">
      <c r="A34" s="10" t="s">
        <v>16</v>
      </c>
      <c r="B34" s="10" t="s">
        <v>97</v>
      </c>
      <c r="C34" s="10" t="s">
        <v>197</v>
      </c>
      <c r="D34" s="41"/>
      <c r="E34" s="41"/>
      <c r="F34" s="10" t="s">
        <v>387</v>
      </c>
      <c r="G34" s="51">
        <v>44</v>
      </c>
      <c r="H34" s="51">
        <v>0</v>
      </c>
      <c r="I34" s="51">
        <f>G34*AO34</f>
        <v>0</v>
      </c>
      <c r="J34" s="51">
        <f>G34*AP34</f>
        <v>0</v>
      </c>
      <c r="K34" s="51">
        <f>G34*H34</f>
        <v>0</v>
      </c>
      <c r="L34" s="71" t="s">
        <v>407</v>
      </c>
      <c r="Z34" s="76">
        <f>IF(AQ34="5",BJ34,0)</f>
        <v>0</v>
      </c>
      <c r="AB34" s="76">
        <f>IF(AQ34="1",BH34,0)</f>
        <v>0</v>
      </c>
      <c r="AC34" s="76">
        <f>IF(AQ34="1",BI34,0)</f>
        <v>0</v>
      </c>
      <c r="AD34" s="76">
        <f>IF(AQ34="7",BH34,0)</f>
        <v>0</v>
      </c>
      <c r="AE34" s="76">
        <f>IF(AQ34="7",BI34,0)</f>
        <v>0</v>
      </c>
      <c r="AF34" s="76">
        <f>IF(AQ34="2",BH34,0)</f>
        <v>0</v>
      </c>
      <c r="AG34" s="76">
        <f>IF(AQ34="2",BI34,0)</f>
        <v>0</v>
      </c>
      <c r="AH34" s="76">
        <f>IF(AQ34="0",BJ34,0)</f>
        <v>0</v>
      </c>
      <c r="AI34" s="72"/>
      <c r="AJ34" s="51">
        <f>IF(AN34=0,K34,0)</f>
        <v>0</v>
      </c>
      <c r="AK34" s="51">
        <f>IF(AN34=15,K34,0)</f>
        <v>0</v>
      </c>
      <c r="AL34" s="51">
        <f>IF(AN34=21,K34,0)</f>
        <v>0</v>
      </c>
      <c r="AN34" s="76">
        <v>21</v>
      </c>
      <c r="AO34" s="76">
        <f>H34*0</f>
        <v>0</v>
      </c>
      <c r="AP34" s="76">
        <f>H34*(1-0)</f>
        <v>0</v>
      </c>
      <c r="AQ34" s="71" t="s">
        <v>7</v>
      </c>
      <c r="AV34" s="76">
        <f>AW34+AX34</f>
        <v>0</v>
      </c>
      <c r="AW34" s="76">
        <f>G34*AO34</f>
        <v>0</v>
      </c>
      <c r="AX34" s="76">
        <f>G34*AP34</f>
        <v>0</v>
      </c>
      <c r="AY34" s="77" t="s">
        <v>421</v>
      </c>
      <c r="AZ34" s="77" t="s">
        <v>440</v>
      </c>
      <c r="BA34" s="72" t="s">
        <v>445</v>
      </c>
      <c r="BC34" s="76">
        <f>AW34+AX34</f>
        <v>0</v>
      </c>
      <c r="BD34" s="76">
        <f>H34/(100-BE34)*100</f>
        <v>0</v>
      </c>
      <c r="BE34" s="76">
        <v>0</v>
      </c>
      <c r="BF34" s="76">
        <f>34</f>
        <v>34</v>
      </c>
      <c r="BH34" s="51">
        <f>G34*AO34</f>
        <v>0</v>
      </c>
      <c r="BI34" s="51">
        <f>G34*AP34</f>
        <v>0</v>
      </c>
      <c r="BJ34" s="51">
        <f>G34*H34</f>
        <v>0</v>
      </c>
    </row>
    <row r="35" spans="3:7" ht="12.75">
      <c r="C35" s="32" t="s">
        <v>198</v>
      </c>
      <c r="D35" s="42"/>
      <c r="E35" s="42"/>
      <c r="G35" s="52">
        <v>44</v>
      </c>
    </row>
    <row r="36" spans="2:12" ht="12.75">
      <c r="B36" s="24" t="s">
        <v>88</v>
      </c>
      <c r="C36" s="33" t="s">
        <v>199</v>
      </c>
      <c r="D36" s="43"/>
      <c r="E36" s="43"/>
      <c r="F36" s="43"/>
      <c r="G36" s="43"/>
      <c r="H36" s="43"/>
      <c r="I36" s="43"/>
      <c r="J36" s="43"/>
      <c r="K36" s="43"/>
      <c r="L36" s="43"/>
    </row>
    <row r="37" spans="1:47" ht="12.75">
      <c r="A37" s="11"/>
      <c r="B37" s="25" t="s">
        <v>19</v>
      </c>
      <c r="C37" s="25" t="s">
        <v>200</v>
      </c>
      <c r="D37" s="44"/>
      <c r="E37" s="44"/>
      <c r="F37" s="11" t="s">
        <v>6</v>
      </c>
      <c r="G37" s="11" t="s">
        <v>6</v>
      </c>
      <c r="H37" s="11" t="s">
        <v>6</v>
      </c>
      <c r="I37" s="79">
        <f>SUM(I38:I55)</f>
        <v>0</v>
      </c>
      <c r="J37" s="79">
        <f>SUM(J38:J55)</f>
        <v>0</v>
      </c>
      <c r="K37" s="79">
        <f>SUM(K38:K55)</f>
        <v>0</v>
      </c>
      <c r="L37" s="72"/>
      <c r="AI37" s="72"/>
      <c r="AS37" s="79">
        <f>SUM(AJ38:AJ55)</f>
        <v>0</v>
      </c>
      <c r="AT37" s="79">
        <f>SUM(AK38:AK55)</f>
        <v>0</v>
      </c>
      <c r="AU37" s="79">
        <f>SUM(AL38:AL55)</f>
        <v>0</v>
      </c>
    </row>
    <row r="38" spans="1:62" ht="12.75">
      <c r="A38" s="10" t="s">
        <v>17</v>
      </c>
      <c r="B38" s="10" t="s">
        <v>98</v>
      </c>
      <c r="C38" s="10" t="s">
        <v>201</v>
      </c>
      <c r="D38" s="41"/>
      <c r="E38" s="41"/>
      <c r="F38" s="10" t="s">
        <v>387</v>
      </c>
      <c r="G38" s="51">
        <v>21.375</v>
      </c>
      <c r="H38" s="51">
        <v>0</v>
      </c>
      <c r="I38" s="51">
        <f>G38*AO38</f>
        <v>0</v>
      </c>
      <c r="J38" s="51">
        <f>G38*AP38</f>
        <v>0</v>
      </c>
      <c r="K38" s="51">
        <f>G38*H38</f>
        <v>0</v>
      </c>
      <c r="L38" s="71" t="s">
        <v>407</v>
      </c>
      <c r="Z38" s="76">
        <f>IF(AQ38="5",BJ38,0)</f>
        <v>0</v>
      </c>
      <c r="AB38" s="76">
        <f>IF(AQ38="1",BH38,0)</f>
        <v>0</v>
      </c>
      <c r="AC38" s="76">
        <f>IF(AQ38="1",BI38,0)</f>
        <v>0</v>
      </c>
      <c r="AD38" s="76">
        <f>IF(AQ38="7",BH38,0)</f>
        <v>0</v>
      </c>
      <c r="AE38" s="76">
        <f>IF(AQ38="7",BI38,0)</f>
        <v>0</v>
      </c>
      <c r="AF38" s="76">
        <f>IF(AQ38="2",BH38,0)</f>
        <v>0</v>
      </c>
      <c r="AG38" s="76">
        <f>IF(AQ38="2",BI38,0)</f>
        <v>0</v>
      </c>
      <c r="AH38" s="76">
        <f>IF(AQ38="0",BJ38,0)</f>
        <v>0</v>
      </c>
      <c r="AI38" s="72"/>
      <c r="AJ38" s="51">
        <f>IF(AN38=0,K38,0)</f>
        <v>0</v>
      </c>
      <c r="AK38" s="51">
        <f>IF(AN38=15,K38,0)</f>
        <v>0</v>
      </c>
      <c r="AL38" s="51">
        <f>IF(AN38=21,K38,0)</f>
        <v>0</v>
      </c>
      <c r="AN38" s="76">
        <v>21</v>
      </c>
      <c r="AO38" s="76">
        <f>H38*0</f>
        <v>0</v>
      </c>
      <c r="AP38" s="76">
        <f>H38*(1-0)</f>
        <v>0</v>
      </c>
      <c r="AQ38" s="71" t="s">
        <v>7</v>
      </c>
      <c r="AV38" s="76">
        <f>AW38+AX38</f>
        <v>0</v>
      </c>
      <c r="AW38" s="76">
        <f>G38*AO38</f>
        <v>0</v>
      </c>
      <c r="AX38" s="76">
        <f>G38*AP38</f>
        <v>0</v>
      </c>
      <c r="AY38" s="77" t="s">
        <v>422</v>
      </c>
      <c r="AZ38" s="77" t="s">
        <v>440</v>
      </c>
      <c r="BA38" s="72" t="s">
        <v>445</v>
      </c>
      <c r="BC38" s="76">
        <f>AW38+AX38</f>
        <v>0</v>
      </c>
      <c r="BD38" s="76">
        <f>H38/(100-BE38)*100</f>
        <v>0</v>
      </c>
      <c r="BE38" s="76">
        <v>0</v>
      </c>
      <c r="BF38" s="76">
        <f>38</f>
        <v>38</v>
      </c>
      <c r="BH38" s="51">
        <f>G38*AO38</f>
        <v>0</v>
      </c>
      <c r="BI38" s="51">
        <f>G38*AP38</f>
        <v>0</v>
      </c>
      <c r="BJ38" s="51">
        <f>G38*H38</f>
        <v>0</v>
      </c>
    </row>
    <row r="39" spans="3:7" ht="12.75">
      <c r="C39" s="32" t="s">
        <v>202</v>
      </c>
      <c r="D39" s="42"/>
      <c r="E39" s="42"/>
      <c r="G39" s="52">
        <v>12.6</v>
      </c>
    </row>
    <row r="40" spans="3:7" ht="12.75">
      <c r="C40" s="32" t="s">
        <v>203</v>
      </c>
      <c r="D40" s="42"/>
      <c r="E40" s="42"/>
      <c r="G40" s="52">
        <v>8.775</v>
      </c>
    </row>
    <row r="41" spans="2:12" ht="12.75">
      <c r="B41" s="24" t="s">
        <v>88</v>
      </c>
      <c r="C41" s="33" t="s">
        <v>204</v>
      </c>
      <c r="D41" s="43"/>
      <c r="E41" s="43"/>
      <c r="F41" s="43"/>
      <c r="G41" s="43"/>
      <c r="H41" s="43"/>
      <c r="I41" s="43"/>
      <c r="J41" s="43"/>
      <c r="K41" s="43"/>
      <c r="L41" s="43"/>
    </row>
    <row r="42" spans="1:62" ht="12.75">
      <c r="A42" s="10" t="s">
        <v>18</v>
      </c>
      <c r="B42" s="10" t="s">
        <v>99</v>
      </c>
      <c r="C42" s="10" t="s">
        <v>205</v>
      </c>
      <c r="D42" s="41"/>
      <c r="E42" s="41"/>
      <c r="F42" s="10" t="s">
        <v>387</v>
      </c>
      <c r="G42" s="51">
        <v>10.6875</v>
      </c>
      <c r="H42" s="51">
        <v>0</v>
      </c>
      <c r="I42" s="51">
        <f>G42*AO42</f>
        <v>0</v>
      </c>
      <c r="J42" s="51">
        <f>G42*AP42</f>
        <v>0</v>
      </c>
      <c r="K42" s="51">
        <f>G42*H42</f>
        <v>0</v>
      </c>
      <c r="L42" s="71" t="s">
        <v>407</v>
      </c>
      <c r="Z42" s="76">
        <f>IF(AQ42="5",BJ42,0)</f>
        <v>0</v>
      </c>
      <c r="AB42" s="76">
        <f>IF(AQ42="1",BH42,0)</f>
        <v>0</v>
      </c>
      <c r="AC42" s="76">
        <f>IF(AQ42="1",BI42,0)</f>
        <v>0</v>
      </c>
      <c r="AD42" s="76">
        <f>IF(AQ42="7",BH42,0)</f>
        <v>0</v>
      </c>
      <c r="AE42" s="76">
        <f>IF(AQ42="7",BI42,0)</f>
        <v>0</v>
      </c>
      <c r="AF42" s="76">
        <f>IF(AQ42="2",BH42,0)</f>
        <v>0</v>
      </c>
      <c r="AG42" s="76">
        <f>IF(AQ42="2",BI42,0)</f>
        <v>0</v>
      </c>
      <c r="AH42" s="76">
        <f>IF(AQ42="0",BJ42,0)</f>
        <v>0</v>
      </c>
      <c r="AI42" s="72"/>
      <c r="AJ42" s="51">
        <f>IF(AN42=0,K42,0)</f>
        <v>0</v>
      </c>
      <c r="AK42" s="51">
        <f>IF(AN42=15,K42,0)</f>
        <v>0</v>
      </c>
      <c r="AL42" s="51">
        <f>IF(AN42=21,K42,0)</f>
        <v>0</v>
      </c>
      <c r="AN42" s="76">
        <v>21</v>
      </c>
      <c r="AO42" s="76">
        <f>H42*0</f>
        <v>0</v>
      </c>
      <c r="AP42" s="76">
        <f>H42*(1-0)</f>
        <v>0</v>
      </c>
      <c r="AQ42" s="71" t="s">
        <v>7</v>
      </c>
      <c r="AV42" s="76">
        <f>AW42+AX42</f>
        <v>0</v>
      </c>
      <c r="AW42" s="76">
        <f>G42*AO42</f>
        <v>0</v>
      </c>
      <c r="AX42" s="76">
        <f>G42*AP42</f>
        <v>0</v>
      </c>
      <c r="AY42" s="77" t="s">
        <v>422</v>
      </c>
      <c r="AZ42" s="77" t="s">
        <v>440</v>
      </c>
      <c r="BA42" s="72" t="s">
        <v>445</v>
      </c>
      <c r="BC42" s="76">
        <f>AW42+AX42</f>
        <v>0</v>
      </c>
      <c r="BD42" s="76">
        <f>H42/(100-BE42)*100</f>
        <v>0</v>
      </c>
      <c r="BE42" s="76">
        <v>0</v>
      </c>
      <c r="BF42" s="76">
        <f>42</f>
        <v>42</v>
      </c>
      <c r="BH42" s="51">
        <f>G42*AO42</f>
        <v>0</v>
      </c>
      <c r="BI42" s="51">
        <f>G42*AP42</f>
        <v>0</v>
      </c>
      <c r="BJ42" s="51">
        <f>G42*H42</f>
        <v>0</v>
      </c>
    </row>
    <row r="43" spans="3:7" ht="12.75">
      <c r="C43" s="32" t="s">
        <v>206</v>
      </c>
      <c r="D43" s="42"/>
      <c r="E43" s="42"/>
      <c r="G43" s="52">
        <v>10.6875</v>
      </c>
    </row>
    <row r="44" spans="2:12" ht="12.75">
      <c r="B44" s="24" t="s">
        <v>88</v>
      </c>
      <c r="C44" s="33" t="s">
        <v>199</v>
      </c>
      <c r="D44" s="43"/>
      <c r="E44" s="43"/>
      <c r="F44" s="43"/>
      <c r="G44" s="43"/>
      <c r="H44" s="43"/>
      <c r="I44" s="43"/>
      <c r="J44" s="43"/>
      <c r="K44" s="43"/>
      <c r="L44" s="43"/>
    </row>
    <row r="45" spans="1:62" ht="12.75">
      <c r="A45" s="10" t="s">
        <v>19</v>
      </c>
      <c r="B45" s="10" t="s">
        <v>100</v>
      </c>
      <c r="C45" s="10" t="s">
        <v>207</v>
      </c>
      <c r="D45" s="41"/>
      <c r="E45" s="41"/>
      <c r="F45" s="10" t="s">
        <v>387</v>
      </c>
      <c r="G45" s="51">
        <v>42.144</v>
      </c>
      <c r="H45" s="51">
        <v>0</v>
      </c>
      <c r="I45" s="51">
        <f>G45*AO45</f>
        <v>0</v>
      </c>
      <c r="J45" s="51">
        <f>G45*AP45</f>
        <v>0</v>
      </c>
      <c r="K45" s="51">
        <f>G45*H45</f>
        <v>0</v>
      </c>
      <c r="L45" s="71" t="s">
        <v>407</v>
      </c>
      <c r="Z45" s="76">
        <f>IF(AQ45="5",BJ45,0)</f>
        <v>0</v>
      </c>
      <c r="AB45" s="76">
        <f>IF(AQ45="1",BH45,0)</f>
        <v>0</v>
      </c>
      <c r="AC45" s="76">
        <f>IF(AQ45="1",BI45,0)</f>
        <v>0</v>
      </c>
      <c r="AD45" s="76">
        <f>IF(AQ45="7",BH45,0)</f>
        <v>0</v>
      </c>
      <c r="AE45" s="76">
        <f>IF(AQ45="7",BI45,0)</f>
        <v>0</v>
      </c>
      <c r="AF45" s="76">
        <f>IF(AQ45="2",BH45,0)</f>
        <v>0</v>
      </c>
      <c r="AG45" s="76">
        <f>IF(AQ45="2",BI45,0)</f>
        <v>0</v>
      </c>
      <c r="AH45" s="76">
        <f>IF(AQ45="0",BJ45,0)</f>
        <v>0</v>
      </c>
      <c r="AI45" s="72"/>
      <c r="AJ45" s="51">
        <f>IF(AN45=0,K45,0)</f>
        <v>0</v>
      </c>
      <c r="AK45" s="51">
        <f>IF(AN45=15,K45,0)</f>
        <v>0</v>
      </c>
      <c r="AL45" s="51">
        <f>IF(AN45=21,K45,0)</f>
        <v>0</v>
      </c>
      <c r="AN45" s="76">
        <v>21</v>
      </c>
      <c r="AO45" s="76">
        <f>H45*0</f>
        <v>0</v>
      </c>
      <c r="AP45" s="76">
        <f>H45*(1-0)</f>
        <v>0</v>
      </c>
      <c r="AQ45" s="71" t="s">
        <v>7</v>
      </c>
      <c r="AV45" s="76">
        <f>AW45+AX45</f>
        <v>0</v>
      </c>
      <c r="AW45" s="76">
        <f>G45*AO45</f>
        <v>0</v>
      </c>
      <c r="AX45" s="76">
        <f>G45*AP45</f>
        <v>0</v>
      </c>
      <c r="AY45" s="77" t="s">
        <v>422</v>
      </c>
      <c r="AZ45" s="77" t="s">
        <v>440</v>
      </c>
      <c r="BA45" s="72" t="s">
        <v>445</v>
      </c>
      <c r="BC45" s="76">
        <f>AW45+AX45</f>
        <v>0</v>
      </c>
      <c r="BD45" s="76">
        <f>H45/(100-BE45)*100</f>
        <v>0</v>
      </c>
      <c r="BE45" s="76">
        <v>0</v>
      </c>
      <c r="BF45" s="76">
        <f>45</f>
        <v>45</v>
      </c>
      <c r="BH45" s="51">
        <f>G45*AO45</f>
        <v>0</v>
      </c>
      <c r="BI45" s="51">
        <f>G45*AP45</f>
        <v>0</v>
      </c>
      <c r="BJ45" s="51">
        <f>G45*H45</f>
        <v>0</v>
      </c>
    </row>
    <row r="46" spans="3:7" ht="12.75">
      <c r="C46" s="32" t="s">
        <v>208</v>
      </c>
      <c r="D46" s="42"/>
      <c r="E46" s="42"/>
      <c r="G46" s="52">
        <v>34.656</v>
      </c>
    </row>
    <row r="47" spans="3:7" ht="12.75">
      <c r="C47" s="32" t="s">
        <v>209</v>
      </c>
      <c r="D47" s="42"/>
      <c r="E47" s="42"/>
      <c r="G47" s="52">
        <v>7.488</v>
      </c>
    </row>
    <row r="48" spans="2:12" ht="38.25" customHeight="1">
      <c r="B48" s="24" t="s">
        <v>88</v>
      </c>
      <c r="C48" s="33" t="s">
        <v>210</v>
      </c>
      <c r="D48" s="43"/>
      <c r="E48" s="43"/>
      <c r="F48" s="43"/>
      <c r="G48" s="43"/>
      <c r="H48" s="43"/>
      <c r="I48" s="43"/>
      <c r="J48" s="43"/>
      <c r="K48" s="43"/>
      <c r="L48" s="43"/>
    </row>
    <row r="49" spans="1:62" ht="12.75">
      <c r="A49" s="10" t="s">
        <v>20</v>
      </c>
      <c r="B49" s="10" t="s">
        <v>101</v>
      </c>
      <c r="C49" s="10" t="s">
        <v>211</v>
      </c>
      <c r="D49" s="41"/>
      <c r="E49" s="41"/>
      <c r="F49" s="10" t="s">
        <v>387</v>
      </c>
      <c r="G49" s="51">
        <v>21.05</v>
      </c>
      <c r="H49" s="51">
        <v>0</v>
      </c>
      <c r="I49" s="51">
        <f>G49*AO49</f>
        <v>0</v>
      </c>
      <c r="J49" s="51">
        <f>G49*AP49</f>
        <v>0</v>
      </c>
      <c r="K49" s="51">
        <f>G49*H49</f>
        <v>0</v>
      </c>
      <c r="L49" s="71" t="s">
        <v>407</v>
      </c>
      <c r="Z49" s="76">
        <f>IF(AQ49="5",BJ49,0)</f>
        <v>0</v>
      </c>
      <c r="AB49" s="76">
        <f>IF(AQ49="1",BH49,0)</f>
        <v>0</v>
      </c>
      <c r="AC49" s="76">
        <f>IF(AQ49="1",BI49,0)</f>
        <v>0</v>
      </c>
      <c r="AD49" s="76">
        <f>IF(AQ49="7",BH49,0)</f>
        <v>0</v>
      </c>
      <c r="AE49" s="76">
        <f>IF(AQ49="7",BI49,0)</f>
        <v>0</v>
      </c>
      <c r="AF49" s="76">
        <f>IF(AQ49="2",BH49,0)</f>
        <v>0</v>
      </c>
      <c r="AG49" s="76">
        <f>IF(AQ49="2",BI49,0)</f>
        <v>0</v>
      </c>
      <c r="AH49" s="76">
        <f>IF(AQ49="0",BJ49,0)</f>
        <v>0</v>
      </c>
      <c r="AI49" s="72"/>
      <c r="AJ49" s="51">
        <f>IF(AN49=0,K49,0)</f>
        <v>0</v>
      </c>
      <c r="AK49" s="51">
        <f>IF(AN49=15,K49,0)</f>
        <v>0</v>
      </c>
      <c r="AL49" s="51">
        <f>IF(AN49=21,K49,0)</f>
        <v>0</v>
      </c>
      <c r="AN49" s="76">
        <v>21</v>
      </c>
      <c r="AO49" s="76">
        <f>H49*0</f>
        <v>0</v>
      </c>
      <c r="AP49" s="76">
        <f>H49*(1-0)</f>
        <v>0</v>
      </c>
      <c r="AQ49" s="71" t="s">
        <v>7</v>
      </c>
      <c r="AV49" s="76">
        <f>AW49+AX49</f>
        <v>0</v>
      </c>
      <c r="AW49" s="76">
        <f>G49*AO49</f>
        <v>0</v>
      </c>
      <c r="AX49" s="76">
        <f>G49*AP49</f>
        <v>0</v>
      </c>
      <c r="AY49" s="77" t="s">
        <v>422</v>
      </c>
      <c r="AZ49" s="77" t="s">
        <v>440</v>
      </c>
      <c r="BA49" s="72" t="s">
        <v>445</v>
      </c>
      <c r="BC49" s="76">
        <f>AW49+AX49</f>
        <v>0</v>
      </c>
      <c r="BD49" s="76">
        <f>H49/(100-BE49)*100</f>
        <v>0</v>
      </c>
      <c r="BE49" s="76">
        <v>0</v>
      </c>
      <c r="BF49" s="76">
        <f>49</f>
        <v>49</v>
      </c>
      <c r="BH49" s="51">
        <f>G49*AO49</f>
        <v>0</v>
      </c>
      <c r="BI49" s="51">
        <f>G49*AP49</f>
        <v>0</v>
      </c>
      <c r="BJ49" s="51">
        <f>G49*H49</f>
        <v>0</v>
      </c>
    </row>
    <row r="50" spans="3:7" ht="12.75">
      <c r="C50" s="32" t="s">
        <v>212</v>
      </c>
      <c r="D50" s="42"/>
      <c r="E50" s="42"/>
      <c r="G50" s="52">
        <v>21.05</v>
      </c>
    </row>
    <row r="51" spans="2:12" ht="12.75">
      <c r="B51" s="24" t="s">
        <v>88</v>
      </c>
      <c r="C51" s="33" t="s">
        <v>199</v>
      </c>
      <c r="D51" s="43"/>
      <c r="E51" s="43"/>
      <c r="F51" s="43"/>
      <c r="G51" s="43"/>
      <c r="H51" s="43"/>
      <c r="I51" s="43"/>
      <c r="J51" s="43"/>
      <c r="K51" s="43"/>
      <c r="L51" s="43"/>
    </row>
    <row r="52" spans="1:62" ht="12.75">
      <c r="A52" s="10" t="s">
        <v>21</v>
      </c>
      <c r="B52" s="10" t="s">
        <v>102</v>
      </c>
      <c r="C52" s="10" t="s">
        <v>213</v>
      </c>
      <c r="D52" s="41"/>
      <c r="E52" s="41"/>
      <c r="F52" s="10" t="s">
        <v>387</v>
      </c>
      <c r="G52" s="51">
        <v>7.7</v>
      </c>
      <c r="H52" s="51">
        <v>0</v>
      </c>
      <c r="I52" s="51">
        <f>G52*AO52</f>
        <v>0</v>
      </c>
      <c r="J52" s="51">
        <f>G52*AP52</f>
        <v>0</v>
      </c>
      <c r="K52" s="51">
        <f>G52*H52</f>
        <v>0</v>
      </c>
      <c r="L52" s="71" t="s">
        <v>408</v>
      </c>
      <c r="Z52" s="76">
        <f>IF(AQ52="5",BJ52,0)</f>
        <v>0</v>
      </c>
      <c r="AB52" s="76">
        <f>IF(AQ52="1",BH52,0)</f>
        <v>0</v>
      </c>
      <c r="AC52" s="76">
        <f>IF(AQ52="1",BI52,0)</f>
        <v>0</v>
      </c>
      <c r="AD52" s="76">
        <f>IF(AQ52="7",BH52,0)</f>
        <v>0</v>
      </c>
      <c r="AE52" s="76">
        <f>IF(AQ52="7",BI52,0)</f>
        <v>0</v>
      </c>
      <c r="AF52" s="76">
        <f>IF(AQ52="2",BH52,0)</f>
        <v>0</v>
      </c>
      <c r="AG52" s="76">
        <f>IF(AQ52="2",BI52,0)</f>
        <v>0</v>
      </c>
      <c r="AH52" s="76">
        <f>IF(AQ52="0",BJ52,0)</f>
        <v>0</v>
      </c>
      <c r="AI52" s="72"/>
      <c r="AJ52" s="51">
        <f>IF(AN52=0,K52,0)</f>
        <v>0</v>
      </c>
      <c r="AK52" s="51">
        <f>IF(AN52=15,K52,0)</f>
        <v>0</v>
      </c>
      <c r="AL52" s="51">
        <f>IF(AN52=21,K52,0)</f>
        <v>0</v>
      </c>
      <c r="AN52" s="76">
        <v>21</v>
      </c>
      <c r="AO52" s="76">
        <f>H52*0</f>
        <v>0</v>
      </c>
      <c r="AP52" s="76">
        <f>H52*(1-0)</f>
        <v>0</v>
      </c>
      <c r="AQ52" s="71" t="s">
        <v>7</v>
      </c>
      <c r="AV52" s="76">
        <f>AW52+AX52</f>
        <v>0</v>
      </c>
      <c r="AW52" s="76">
        <f>G52*AO52</f>
        <v>0</v>
      </c>
      <c r="AX52" s="76">
        <f>G52*AP52</f>
        <v>0</v>
      </c>
      <c r="AY52" s="77" t="s">
        <v>422</v>
      </c>
      <c r="AZ52" s="77" t="s">
        <v>440</v>
      </c>
      <c r="BA52" s="72" t="s">
        <v>445</v>
      </c>
      <c r="BC52" s="76">
        <f>AW52+AX52</f>
        <v>0</v>
      </c>
      <c r="BD52" s="76">
        <f>H52/(100-BE52)*100</f>
        <v>0</v>
      </c>
      <c r="BE52" s="76">
        <v>0</v>
      </c>
      <c r="BF52" s="76">
        <f>52</f>
        <v>52</v>
      </c>
      <c r="BH52" s="51">
        <f>G52*AO52</f>
        <v>0</v>
      </c>
      <c r="BI52" s="51">
        <f>G52*AP52</f>
        <v>0</v>
      </c>
      <c r="BJ52" s="51">
        <f>G52*H52</f>
        <v>0</v>
      </c>
    </row>
    <row r="53" spans="3:7" ht="12.75">
      <c r="C53" s="32" t="s">
        <v>214</v>
      </c>
      <c r="D53" s="42"/>
      <c r="E53" s="42"/>
      <c r="G53" s="52">
        <v>7.7</v>
      </c>
    </row>
    <row r="54" spans="2:12" ht="38.25" customHeight="1">
      <c r="B54" s="24" t="s">
        <v>88</v>
      </c>
      <c r="C54" s="33" t="s">
        <v>210</v>
      </c>
      <c r="D54" s="43"/>
      <c r="E54" s="43"/>
      <c r="F54" s="43"/>
      <c r="G54" s="43"/>
      <c r="H54" s="43"/>
      <c r="I54" s="43"/>
      <c r="J54" s="43"/>
      <c r="K54" s="43"/>
      <c r="L54" s="43"/>
    </row>
    <row r="55" spans="1:62" ht="12.75">
      <c r="A55" s="10" t="s">
        <v>22</v>
      </c>
      <c r="B55" s="10" t="s">
        <v>103</v>
      </c>
      <c r="C55" s="10" t="s">
        <v>215</v>
      </c>
      <c r="D55" s="41"/>
      <c r="E55" s="41"/>
      <c r="F55" s="10" t="s">
        <v>387</v>
      </c>
      <c r="G55" s="51">
        <v>3.85</v>
      </c>
      <c r="H55" s="51">
        <v>0</v>
      </c>
      <c r="I55" s="51">
        <f>G55*AO55</f>
        <v>0</v>
      </c>
      <c r="J55" s="51">
        <f>G55*AP55</f>
        <v>0</v>
      </c>
      <c r="K55" s="51">
        <f>G55*H55</f>
        <v>0</v>
      </c>
      <c r="L55" s="71" t="s">
        <v>408</v>
      </c>
      <c r="Z55" s="76">
        <f>IF(AQ55="5",BJ55,0)</f>
        <v>0</v>
      </c>
      <c r="AB55" s="76">
        <f>IF(AQ55="1",BH55,0)</f>
        <v>0</v>
      </c>
      <c r="AC55" s="76">
        <f>IF(AQ55="1",BI55,0)</f>
        <v>0</v>
      </c>
      <c r="AD55" s="76">
        <f>IF(AQ55="7",BH55,0)</f>
        <v>0</v>
      </c>
      <c r="AE55" s="76">
        <f>IF(AQ55="7",BI55,0)</f>
        <v>0</v>
      </c>
      <c r="AF55" s="76">
        <f>IF(AQ55="2",BH55,0)</f>
        <v>0</v>
      </c>
      <c r="AG55" s="76">
        <f>IF(AQ55="2",BI55,0)</f>
        <v>0</v>
      </c>
      <c r="AH55" s="76">
        <f>IF(AQ55="0",BJ55,0)</f>
        <v>0</v>
      </c>
      <c r="AI55" s="72"/>
      <c r="AJ55" s="51">
        <f>IF(AN55=0,K55,0)</f>
        <v>0</v>
      </c>
      <c r="AK55" s="51">
        <f>IF(AN55=15,K55,0)</f>
        <v>0</v>
      </c>
      <c r="AL55" s="51">
        <f>IF(AN55=21,K55,0)</f>
        <v>0</v>
      </c>
      <c r="AN55" s="76">
        <v>21</v>
      </c>
      <c r="AO55" s="76">
        <f>H55*0</f>
        <v>0</v>
      </c>
      <c r="AP55" s="76">
        <f>H55*(1-0)</f>
        <v>0</v>
      </c>
      <c r="AQ55" s="71" t="s">
        <v>7</v>
      </c>
      <c r="AV55" s="76">
        <f>AW55+AX55</f>
        <v>0</v>
      </c>
      <c r="AW55" s="76">
        <f>G55*AO55</f>
        <v>0</v>
      </c>
      <c r="AX55" s="76">
        <f>G55*AP55</f>
        <v>0</v>
      </c>
      <c r="AY55" s="77" t="s">
        <v>422</v>
      </c>
      <c r="AZ55" s="77" t="s">
        <v>440</v>
      </c>
      <c r="BA55" s="72" t="s">
        <v>445</v>
      </c>
      <c r="BC55" s="76">
        <f>AW55+AX55</f>
        <v>0</v>
      </c>
      <c r="BD55" s="76">
        <f>H55/(100-BE55)*100</f>
        <v>0</v>
      </c>
      <c r="BE55" s="76">
        <v>0</v>
      </c>
      <c r="BF55" s="76">
        <f>55</f>
        <v>55</v>
      </c>
      <c r="BH55" s="51">
        <f>G55*AO55</f>
        <v>0</v>
      </c>
      <c r="BI55" s="51">
        <f>G55*AP55</f>
        <v>0</v>
      </c>
      <c r="BJ55" s="51">
        <f>G55*H55</f>
        <v>0</v>
      </c>
    </row>
    <row r="56" spans="3:7" ht="12.75">
      <c r="C56" s="32" t="s">
        <v>216</v>
      </c>
      <c r="D56" s="42"/>
      <c r="E56" s="42"/>
      <c r="G56" s="52">
        <v>3.85</v>
      </c>
    </row>
    <row r="57" spans="2:12" ht="12.75">
      <c r="B57" s="24" t="s">
        <v>88</v>
      </c>
      <c r="C57" s="33" t="s">
        <v>199</v>
      </c>
      <c r="D57" s="43"/>
      <c r="E57" s="43"/>
      <c r="F57" s="43"/>
      <c r="G57" s="43"/>
      <c r="H57" s="43"/>
      <c r="I57" s="43"/>
      <c r="J57" s="43"/>
      <c r="K57" s="43"/>
      <c r="L57" s="43"/>
    </row>
    <row r="58" spans="1:47" ht="12.75">
      <c r="A58" s="11"/>
      <c r="B58" s="25" t="s">
        <v>21</v>
      </c>
      <c r="C58" s="25" t="s">
        <v>217</v>
      </c>
      <c r="D58" s="44"/>
      <c r="E58" s="44"/>
      <c r="F58" s="11" t="s">
        <v>6</v>
      </c>
      <c r="G58" s="11" t="s">
        <v>6</v>
      </c>
      <c r="H58" s="11" t="s">
        <v>6</v>
      </c>
      <c r="I58" s="79">
        <f>SUM(I59:I68)</f>
        <v>0</v>
      </c>
      <c r="J58" s="79">
        <f>SUM(J59:J68)</f>
        <v>0</v>
      </c>
      <c r="K58" s="79">
        <f>SUM(K59:K68)</f>
        <v>0</v>
      </c>
      <c r="L58" s="72"/>
      <c r="AI58" s="72"/>
      <c r="AS58" s="79">
        <f>SUM(AJ59:AJ68)</f>
        <v>0</v>
      </c>
      <c r="AT58" s="79">
        <f>SUM(AK59:AK68)</f>
        <v>0</v>
      </c>
      <c r="AU58" s="79">
        <f>SUM(AL59:AL68)</f>
        <v>0</v>
      </c>
    </row>
    <row r="59" spans="1:62" ht="12.75">
      <c r="A59" s="10" t="s">
        <v>23</v>
      </c>
      <c r="B59" s="10" t="s">
        <v>104</v>
      </c>
      <c r="C59" s="10" t="s">
        <v>218</v>
      </c>
      <c r="D59" s="41"/>
      <c r="E59" s="41"/>
      <c r="F59" s="10" t="s">
        <v>385</v>
      </c>
      <c r="G59" s="51">
        <v>70.24</v>
      </c>
      <c r="H59" s="51">
        <v>0</v>
      </c>
      <c r="I59" s="51">
        <f>G59*AO59</f>
        <v>0</v>
      </c>
      <c r="J59" s="51">
        <f>G59*AP59</f>
        <v>0</v>
      </c>
      <c r="K59" s="51">
        <f>G59*H59</f>
        <v>0</v>
      </c>
      <c r="L59" s="71" t="s">
        <v>407</v>
      </c>
      <c r="Z59" s="76">
        <f>IF(AQ59="5",BJ59,0)</f>
        <v>0</v>
      </c>
      <c r="AB59" s="76">
        <f>IF(AQ59="1",BH59,0)</f>
        <v>0</v>
      </c>
      <c r="AC59" s="76">
        <f>IF(AQ59="1",BI59,0)</f>
        <v>0</v>
      </c>
      <c r="AD59" s="76">
        <f>IF(AQ59="7",BH59,0)</f>
        <v>0</v>
      </c>
      <c r="AE59" s="76">
        <f>IF(AQ59="7",BI59,0)</f>
        <v>0</v>
      </c>
      <c r="AF59" s="76">
        <f>IF(AQ59="2",BH59,0)</f>
        <v>0</v>
      </c>
      <c r="AG59" s="76">
        <f>IF(AQ59="2",BI59,0)</f>
        <v>0</v>
      </c>
      <c r="AH59" s="76">
        <f>IF(AQ59="0",BJ59,0)</f>
        <v>0</v>
      </c>
      <c r="AI59" s="72"/>
      <c r="AJ59" s="51">
        <f>IF(AN59=0,K59,0)</f>
        <v>0</v>
      </c>
      <c r="AK59" s="51">
        <f>IF(AN59=15,K59,0)</f>
        <v>0</v>
      </c>
      <c r="AL59" s="51">
        <f>IF(AN59=21,K59,0)</f>
        <v>0</v>
      </c>
      <c r="AN59" s="76">
        <v>21</v>
      </c>
      <c r="AO59" s="76">
        <f>H59*0.0964319248826291</f>
        <v>0</v>
      </c>
      <c r="AP59" s="76">
        <f>H59*(1-0.0964319248826291)</f>
        <v>0</v>
      </c>
      <c r="AQ59" s="71" t="s">
        <v>7</v>
      </c>
      <c r="AV59" s="76">
        <f>AW59+AX59</f>
        <v>0</v>
      </c>
      <c r="AW59" s="76">
        <f>G59*AO59</f>
        <v>0</v>
      </c>
      <c r="AX59" s="76">
        <f>G59*AP59</f>
        <v>0</v>
      </c>
      <c r="AY59" s="77" t="s">
        <v>423</v>
      </c>
      <c r="AZ59" s="77" t="s">
        <v>440</v>
      </c>
      <c r="BA59" s="72" t="s">
        <v>445</v>
      </c>
      <c r="BC59" s="76">
        <f>AW59+AX59</f>
        <v>0</v>
      </c>
      <c r="BD59" s="76">
        <f>H59/(100-BE59)*100</f>
        <v>0</v>
      </c>
      <c r="BE59" s="76">
        <v>0</v>
      </c>
      <c r="BF59" s="76">
        <f>59</f>
        <v>59</v>
      </c>
      <c r="BH59" s="51">
        <f>G59*AO59</f>
        <v>0</v>
      </c>
      <c r="BI59" s="51">
        <f>G59*AP59</f>
        <v>0</v>
      </c>
      <c r="BJ59" s="51">
        <f>G59*H59</f>
        <v>0</v>
      </c>
    </row>
    <row r="60" spans="3:7" ht="12.75">
      <c r="C60" s="32" t="s">
        <v>219</v>
      </c>
      <c r="D60" s="42"/>
      <c r="E60" s="42"/>
      <c r="G60" s="52">
        <v>57.76</v>
      </c>
    </row>
    <row r="61" spans="3:7" ht="12.75">
      <c r="C61" s="32" t="s">
        <v>220</v>
      </c>
      <c r="D61" s="42"/>
      <c r="E61" s="42"/>
      <c r="G61" s="52">
        <v>12.48</v>
      </c>
    </row>
    <row r="62" spans="2:12" ht="12.75">
      <c r="B62" s="24" t="s">
        <v>88</v>
      </c>
      <c r="C62" s="33" t="s">
        <v>221</v>
      </c>
      <c r="D62" s="43"/>
      <c r="E62" s="43"/>
      <c r="F62" s="43"/>
      <c r="G62" s="43"/>
      <c r="H62" s="43"/>
      <c r="I62" s="43"/>
      <c r="J62" s="43"/>
      <c r="K62" s="43"/>
      <c r="L62" s="43"/>
    </row>
    <row r="63" spans="1:62" ht="12.75">
      <c r="A63" s="10" t="s">
        <v>24</v>
      </c>
      <c r="B63" s="10" t="s">
        <v>105</v>
      </c>
      <c r="C63" s="10" t="s">
        <v>222</v>
      </c>
      <c r="D63" s="41"/>
      <c r="E63" s="41"/>
      <c r="F63" s="10" t="s">
        <v>385</v>
      </c>
      <c r="G63" s="51">
        <v>70.24</v>
      </c>
      <c r="H63" s="51">
        <v>0</v>
      </c>
      <c r="I63" s="51">
        <f>G63*AO63</f>
        <v>0</v>
      </c>
      <c r="J63" s="51">
        <f>G63*AP63</f>
        <v>0</v>
      </c>
      <c r="K63" s="51">
        <f>G63*H63</f>
        <v>0</v>
      </c>
      <c r="L63" s="71" t="s">
        <v>407</v>
      </c>
      <c r="Z63" s="76">
        <f>IF(AQ63="5",BJ63,0)</f>
        <v>0</v>
      </c>
      <c r="AB63" s="76">
        <f>IF(AQ63="1",BH63,0)</f>
        <v>0</v>
      </c>
      <c r="AC63" s="76">
        <f>IF(AQ63="1",BI63,0)</f>
        <v>0</v>
      </c>
      <c r="AD63" s="76">
        <f>IF(AQ63="7",BH63,0)</f>
        <v>0</v>
      </c>
      <c r="AE63" s="76">
        <f>IF(AQ63="7",BI63,0)</f>
        <v>0</v>
      </c>
      <c r="AF63" s="76">
        <f>IF(AQ63="2",BH63,0)</f>
        <v>0</v>
      </c>
      <c r="AG63" s="76">
        <f>IF(AQ63="2",BI63,0)</f>
        <v>0</v>
      </c>
      <c r="AH63" s="76">
        <f>IF(AQ63="0",BJ63,0)</f>
        <v>0</v>
      </c>
      <c r="AI63" s="72"/>
      <c r="AJ63" s="51">
        <f>IF(AN63=0,K63,0)</f>
        <v>0</v>
      </c>
      <c r="AK63" s="51">
        <f>IF(AN63=15,K63,0)</f>
        <v>0</v>
      </c>
      <c r="AL63" s="51">
        <f>IF(AN63=21,K63,0)</f>
        <v>0</v>
      </c>
      <c r="AN63" s="76">
        <v>21</v>
      </c>
      <c r="AO63" s="76">
        <f>H63*0</f>
        <v>0</v>
      </c>
      <c r="AP63" s="76">
        <f>H63*(1-0)</f>
        <v>0</v>
      </c>
      <c r="AQ63" s="71" t="s">
        <v>7</v>
      </c>
      <c r="AV63" s="76">
        <f>AW63+AX63</f>
        <v>0</v>
      </c>
      <c r="AW63" s="76">
        <f>G63*AO63</f>
        <v>0</v>
      </c>
      <c r="AX63" s="76">
        <f>G63*AP63</f>
        <v>0</v>
      </c>
      <c r="AY63" s="77" t="s">
        <v>423</v>
      </c>
      <c r="AZ63" s="77" t="s">
        <v>440</v>
      </c>
      <c r="BA63" s="72" t="s">
        <v>445</v>
      </c>
      <c r="BC63" s="76">
        <f>AW63+AX63</f>
        <v>0</v>
      </c>
      <c r="BD63" s="76">
        <f>H63/(100-BE63)*100</f>
        <v>0</v>
      </c>
      <c r="BE63" s="76">
        <v>0</v>
      </c>
      <c r="BF63" s="76">
        <f>63</f>
        <v>63</v>
      </c>
      <c r="BH63" s="51">
        <f>G63*AO63</f>
        <v>0</v>
      </c>
      <c r="BI63" s="51">
        <f>G63*AP63</f>
        <v>0</v>
      </c>
      <c r="BJ63" s="51">
        <f>G63*H63</f>
        <v>0</v>
      </c>
    </row>
    <row r="64" spans="1:62" ht="12.75">
      <c r="A64" s="10" t="s">
        <v>25</v>
      </c>
      <c r="B64" s="10" t="s">
        <v>106</v>
      </c>
      <c r="C64" s="10" t="s">
        <v>223</v>
      </c>
      <c r="D64" s="41"/>
      <c r="E64" s="41"/>
      <c r="F64" s="10" t="s">
        <v>385</v>
      </c>
      <c r="G64" s="51">
        <v>57</v>
      </c>
      <c r="H64" s="51">
        <v>0</v>
      </c>
      <c r="I64" s="51">
        <f>G64*AO64</f>
        <v>0</v>
      </c>
      <c r="J64" s="51">
        <f>G64*AP64</f>
        <v>0</v>
      </c>
      <c r="K64" s="51">
        <f>G64*H64</f>
        <v>0</v>
      </c>
      <c r="L64" s="71" t="s">
        <v>407</v>
      </c>
      <c r="Z64" s="76">
        <f>IF(AQ64="5",BJ64,0)</f>
        <v>0</v>
      </c>
      <c r="AB64" s="76">
        <f>IF(AQ64="1",BH64,0)</f>
        <v>0</v>
      </c>
      <c r="AC64" s="76">
        <f>IF(AQ64="1",BI64,0)</f>
        <v>0</v>
      </c>
      <c r="AD64" s="76">
        <f>IF(AQ64="7",BH64,0)</f>
        <v>0</v>
      </c>
      <c r="AE64" s="76">
        <f>IF(AQ64="7",BI64,0)</f>
        <v>0</v>
      </c>
      <c r="AF64" s="76">
        <f>IF(AQ64="2",BH64,0)</f>
        <v>0</v>
      </c>
      <c r="AG64" s="76">
        <f>IF(AQ64="2",BI64,0)</f>
        <v>0</v>
      </c>
      <c r="AH64" s="76">
        <f>IF(AQ64="0",BJ64,0)</f>
        <v>0</v>
      </c>
      <c r="AI64" s="72"/>
      <c r="AJ64" s="51">
        <f>IF(AN64=0,K64,0)</f>
        <v>0</v>
      </c>
      <c r="AK64" s="51">
        <f>IF(AN64=15,K64,0)</f>
        <v>0</v>
      </c>
      <c r="AL64" s="51">
        <f>IF(AN64=21,K64,0)</f>
        <v>0</v>
      </c>
      <c r="AN64" s="76">
        <v>21</v>
      </c>
      <c r="AO64" s="76">
        <f>H64*0.0661577608142494</f>
        <v>0</v>
      </c>
      <c r="AP64" s="76">
        <f>H64*(1-0.0661577608142494)</f>
        <v>0</v>
      </c>
      <c r="AQ64" s="71" t="s">
        <v>7</v>
      </c>
      <c r="AV64" s="76">
        <f>AW64+AX64</f>
        <v>0</v>
      </c>
      <c r="AW64" s="76">
        <f>G64*AO64</f>
        <v>0</v>
      </c>
      <c r="AX64" s="76">
        <f>G64*AP64</f>
        <v>0</v>
      </c>
      <c r="AY64" s="77" t="s">
        <v>423</v>
      </c>
      <c r="AZ64" s="77" t="s">
        <v>440</v>
      </c>
      <c r="BA64" s="72" t="s">
        <v>445</v>
      </c>
      <c r="BC64" s="76">
        <f>AW64+AX64</f>
        <v>0</v>
      </c>
      <c r="BD64" s="76">
        <f>H64/(100-BE64)*100</f>
        <v>0</v>
      </c>
      <c r="BE64" s="76">
        <v>0</v>
      </c>
      <c r="BF64" s="76">
        <f>64</f>
        <v>64</v>
      </c>
      <c r="BH64" s="51">
        <f>G64*AO64</f>
        <v>0</v>
      </c>
      <c r="BI64" s="51">
        <f>G64*AP64</f>
        <v>0</v>
      </c>
      <c r="BJ64" s="51">
        <f>G64*H64</f>
        <v>0</v>
      </c>
    </row>
    <row r="65" spans="3:7" ht="12.75">
      <c r="C65" s="32" t="s">
        <v>224</v>
      </c>
      <c r="D65" s="42"/>
      <c r="E65" s="42"/>
      <c r="G65" s="52">
        <v>33.6</v>
      </c>
    </row>
    <row r="66" spans="3:7" ht="12.75">
      <c r="C66" s="32" t="s">
        <v>225</v>
      </c>
      <c r="D66" s="42"/>
      <c r="E66" s="42"/>
      <c r="G66" s="52">
        <v>23.4</v>
      </c>
    </row>
    <row r="67" spans="2:12" ht="12.75">
      <c r="B67" s="24" t="s">
        <v>88</v>
      </c>
      <c r="C67" s="33" t="s">
        <v>221</v>
      </c>
      <c r="D67" s="43"/>
      <c r="E67" s="43"/>
      <c r="F67" s="43"/>
      <c r="G67" s="43"/>
      <c r="H67" s="43"/>
      <c r="I67" s="43"/>
      <c r="J67" s="43"/>
      <c r="K67" s="43"/>
      <c r="L67" s="43"/>
    </row>
    <row r="68" spans="1:62" ht="12.75">
      <c r="A68" s="10" t="s">
        <v>26</v>
      </c>
      <c r="B68" s="10" t="s">
        <v>107</v>
      </c>
      <c r="C68" s="10" t="s">
        <v>226</v>
      </c>
      <c r="D68" s="41"/>
      <c r="E68" s="41"/>
      <c r="F68" s="10" t="s">
        <v>385</v>
      </c>
      <c r="G68" s="51">
        <v>57</v>
      </c>
      <c r="H68" s="51">
        <v>0</v>
      </c>
      <c r="I68" s="51">
        <f>G68*AO68</f>
        <v>0</v>
      </c>
      <c r="J68" s="51">
        <f>G68*AP68</f>
        <v>0</v>
      </c>
      <c r="K68" s="51">
        <f>G68*H68</f>
        <v>0</v>
      </c>
      <c r="L68" s="71" t="s">
        <v>407</v>
      </c>
      <c r="Z68" s="76">
        <f>IF(AQ68="5",BJ68,0)</f>
        <v>0</v>
      </c>
      <c r="AB68" s="76">
        <f>IF(AQ68="1",BH68,0)</f>
        <v>0</v>
      </c>
      <c r="AC68" s="76">
        <f>IF(AQ68="1",BI68,0)</f>
        <v>0</v>
      </c>
      <c r="AD68" s="76">
        <f>IF(AQ68="7",BH68,0)</f>
        <v>0</v>
      </c>
      <c r="AE68" s="76">
        <f>IF(AQ68="7",BI68,0)</f>
        <v>0</v>
      </c>
      <c r="AF68" s="76">
        <f>IF(AQ68="2",BH68,0)</f>
        <v>0</v>
      </c>
      <c r="AG68" s="76">
        <f>IF(AQ68="2",BI68,0)</f>
        <v>0</v>
      </c>
      <c r="AH68" s="76">
        <f>IF(AQ68="0",BJ68,0)</f>
        <v>0</v>
      </c>
      <c r="AI68" s="72"/>
      <c r="AJ68" s="51">
        <f>IF(AN68=0,K68,0)</f>
        <v>0</v>
      </c>
      <c r="AK68" s="51">
        <f>IF(AN68=15,K68,0)</f>
        <v>0</v>
      </c>
      <c r="AL68" s="51">
        <f>IF(AN68=21,K68,0)</f>
        <v>0</v>
      </c>
      <c r="AN68" s="76">
        <v>21</v>
      </c>
      <c r="AO68" s="76">
        <f>H68*0</f>
        <v>0</v>
      </c>
      <c r="AP68" s="76">
        <f>H68*(1-0)</f>
        <v>0</v>
      </c>
      <c r="AQ68" s="71" t="s">
        <v>7</v>
      </c>
      <c r="AV68" s="76">
        <f>AW68+AX68</f>
        <v>0</v>
      </c>
      <c r="AW68" s="76">
        <f>G68*AO68</f>
        <v>0</v>
      </c>
      <c r="AX68" s="76">
        <f>G68*AP68</f>
        <v>0</v>
      </c>
      <c r="AY68" s="77" t="s">
        <v>423</v>
      </c>
      <c r="AZ68" s="77" t="s">
        <v>440</v>
      </c>
      <c r="BA68" s="72" t="s">
        <v>445</v>
      </c>
      <c r="BC68" s="76">
        <f>AW68+AX68</f>
        <v>0</v>
      </c>
      <c r="BD68" s="76">
        <f>H68/(100-BE68)*100</f>
        <v>0</v>
      </c>
      <c r="BE68" s="76">
        <v>0</v>
      </c>
      <c r="BF68" s="76">
        <f>68</f>
        <v>68</v>
      </c>
      <c r="BH68" s="51">
        <f>G68*AO68</f>
        <v>0</v>
      </c>
      <c r="BI68" s="51">
        <f>G68*AP68</f>
        <v>0</v>
      </c>
      <c r="BJ68" s="51">
        <f>G68*H68</f>
        <v>0</v>
      </c>
    </row>
    <row r="69" spans="1:47" ht="12.75">
      <c r="A69" s="11"/>
      <c r="B69" s="25" t="s">
        <v>22</v>
      </c>
      <c r="C69" s="25" t="s">
        <v>227</v>
      </c>
      <c r="D69" s="44"/>
      <c r="E69" s="44"/>
      <c r="F69" s="11" t="s">
        <v>6</v>
      </c>
      <c r="G69" s="11" t="s">
        <v>6</v>
      </c>
      <c r="H69" s="11" t="s">
        <v>6</v>
      </c>
      <c r="I69" s="79">
        <f>SUM(I70:I77)</f>
        <v>0</v>
      </c>
      <c r="J69" s="79">
        <f>SUM(J70:J77)</f>
        <v>0</v>
      </c>
      <c r="K69" s="79">
        <f>SUM(K70:K77)</f>
        <v>0</v>
      </c>
      <c r="L69" s="72"/>
      <c r="AI69" s="72"/>
      <c r="AS69" s="79">
        <f>SUM(AJ70:AJ77)</f>
        <v>0</v>
      </c>
      <c r="AT69" s="79">
        <f>SUM(AK70:AK77)</f>
        <v>0</v>
      </c>
      <c r="AU69" s="79">
        <f>SUM(AL70:AL77)</f>
        <v>0</v>
      </c>
    </row>
    <row r="70" spans="1:62" ht="12.75">
      <c r="A70" s="10" t="s">
        <v>27</v>
      </c>
      <c r="B70" s="10" t="s">
        <v>108</v>
      </c>
      <c r="C70" s="10" t="s">
        <v>228</v>
      </c>
      <c r="D70" s="41"/>
      <c r="E70" s="41"/>
      <c r="F70" s="10" t="s">
        <v>387</v>
      </c>
      <c r="G70" s="51">
        <v>13.1</v>
      </c>
      <c r="H70" s="51">
        <v>0</v>
      </c>
      <c r="I70" s="51">
        <f>G70*AO70</f>
        <v>0</v>
      </c>
      <c r="J70" s="51">
        <f>G70*AP70</f>
        <v>0</v>
      </c>
      <c r="K70" s="51">
        <f>G70*H70</f>
        <v>0</v>
      </c>
      <c r="L70" s="71" t="s">
        <v>407</v>
      </c>
      <c r="Z70" s="76">
        <f>IF(AQ70="5",BJ70,0)</f>
        <v>0</v>
      </c>
      <c r="AB70" s="76">
        <f>IF(AQ70="1",BH70,0)</f>
        <v>0</v>
      </c>
      <c r="AC70" s="76">
        <f>IF(AQ70="1",BI70,0)</f>
        <v>0</v>
      </c>
      <c r="AD70" s="76">
        <f>IF(AQ70="7",BH70,0)</f>
        <v>0</v>
      </c>
      <c r="AE70" s="76">
        <f>IF(AQ70="7",BI70,0)</f>
        <v>0</v>
      </c>
      <c r="AF70" s="76">
        <f>IF(AQ70="2",BH70,0)</f>
        <v>0</v>
      </c>
      <c r="AG70" s="76">
        <f>IF(AQ70="2",BI70,0)</f>
        <v>0</v>
      </c>
      <c r="AH70" s="76">
        <f>IF(AQ70="0",BJ70,0)</f>
        <v>0</v>
      </c>
      <c r="AI70" s="72"/>
      <c r="AJ70" s="51">
        <f>IF(AN70=0,K70,0)</f>
        <v>0</v>
      </c>
      <c r="AK70" s="51">
        <f>IF(AN70=15,K70,0)</f>
        <v>0</v>
      </c>
      <c r="AL70" s="51">
        <f>IF(AN70=21,K70,0)</f>
        <v>0</v>
      </c>
      <c r="AN70" s="76">
        <v>21</v>
      </c>
      <c r="AO70" s="76">
        <f>H70*0</f>
        <v>0</v>
      </c>
      <c r="AP70" s="76">
        <f>H70*(1-0)</f>
        <v>0</v>
      </c>
      <c r="AQ70" s="71" t="s">
        <v>7</v>
      </c>
      <c r="AV70" s="76">
        <f>AW70+AX70</f>
        <v>0</v>
      </c>
      <c r="AW70" s="76">
        <f>G70*AO70</f>
        <v>0</v>
      </c>
      <c r="AX70" s="76">
        <f>G70*AP70</f>
        <v>0</v>
      </c>
      <c r="AY70" s="77" t="s">
        <v>424</v>
      </c>
      <c r="AZ70" s="77" t="s">
        <v>440</v>
      </c>
      <c r="BA70" s="72" t="s">
        <v>445</v>
      </c>
      <c r="BC70" s="76">
        <f>AW70+AX70</f>
        <v>0</v>
      </c>
      <c r="BD70" s="76">
        <f>H70/(100-BE70)*100</f>
        <v>0</v>
      </c>
      <c r="BE70" s="76">
        <v>0</v>
      </c>
      <c r="BF70" s="76">
        <f>70</f>
        <v>70</v>
      </c>
      <c r="BH70" s="51">
        <f>G70*AO70</f>
        <v>0</v>
      </c>
      <c r="BI70" s="51">
        <f>G70*AP70</f>
        <v>0</v>
      </c>
      <c r="BJ70" s="51">
        <f>G70*H70</f>
        <v>0</v>
      </c>
    </row>
    <row r="71" spans="3:7" ht="12.75">
      <c r="C71" s="32" t="s">
        <v>229</v>
      </c>
      <c r="D71" s="42"/>
      <c r="E71" s="42"/>
      <c r="G71" s="52">
        <v>13.1</v>
      </c>
    </row>
    <row r="72" spans="1:62" ht="12.75">
      <c r="A72" s="10" t="s">
        <v>28</v>
      </c>
      <c r="B72" s="10" t="s">
        <v>109</v>
      </c>
      <c r="C72" s="10" t="s">
        <v>230</v>
      </c>
      <c r="D72" s="41"/>
      <c r="E72" s="41"/>
      <c r="F72" s="10" t="s">
        <v>387</v>
      </c>
      <c r="G72" s="51">
        <v>78.5</v>
      </c>
      <c r="H72" s="51">
        <v>0</v>
      </c>
      <c r="I72" s="51">
        <f>G72*AO72</f>
        <v>0</v>
      </c>
      <c r="J72" s="51">
        <f>G72*AP72</f>
        <v>0</v>
      </c>
      <c r="K72" s="51">
        <f>G72*H72</f>
        <v>0</v>
      </c>
      <c r="L72" s="71" t="s">
        <v>407</v>
      </c>
      <c r="Z72" s="76">
        <f>IF(AQ72="5",BJ72,0)</f>
        <v>0</v>
      </c>
      <c r="AB72" s="76">
        <f>IF(AQ72="1",BH72,0)</f>
        <v>0</v>
      </c>
      <c r="AC72" s="76">
        <f>IF(AQ72="1",BI72,0)</f>
        <v>0</v>
      </c>
      <c r="AD72" s="76">
        <f>IF(AQ72="7",BH72,0)</f>
        <v>0</v>
      </c>
      <c r="AE72" s="76">
        <f>IF(AQ72="7",BI72,0)</f>
        <v>0</v>
      </c>
      <c r="AF72" s="76">
        <f>IF(AQ72="2",BH72,0)</f>
        <v>0</v>
      </c>
      <c r="AG72" s="76">
        <f>IF(AQ72="2",BI72,0)</f>
        <v>0</v>
      </c>
      <c r="AH72" s="76">
        <f>IF(AQ72="0",BJ72,0)</f>
        <v>0</v>
      </c>
      <c r="AI72" s="72"/>
      <c r="AJ72" s="51">
        <f>IF(AN72=0,K72,0)</f>
        <v>0</v>
      </c>
      <c r="AK72" s="51">
        <f>IF(AN72=15,K72,0)</f>
        <v>0</v>
      </c>
      <c r="AL72" s="51">
        <f>IF(AN72=21,K72,0)</f>
        <v>0</v>
      </c>
      <c r="AN72" s="76">
        <v>21</v>
      </c>
      <c r="AO72" s="76">
        <f>H72*0</f>
        <v>0</v>
      </c>
      <c r="AP72" s="76">
        <f>H72*(1-0)</f>
        <v>0</v>
      </c>
      <c r="AQ72" s="71" t="s">
        <v>7</v>
      </c>
      <c r="AV72" s="76">
        <f>AW72+AX72</f>
        <v>0</v>
      </c>
      <c r="AW72" s="76">
        <f>G72*AO72</f>
        <v>0</v>
      </c>
      <c r="AX72" s="76">
        <f>G72*AP72</f>
        <v>0</v>
      </c>
      <c r="AY72" s="77" t="s">
        <v>424</v>
      </c>
      <c r="AZ72" s="77" t="s">
        <v>440</v>
      </c>
      <c r="BA72" s="72" t="s">
        <v>445</v>
      </c>
      <c r="BC72" s="76">
        <f>AW72+AX72</f>
        <v>0</v>
      </c>
      <c r="BD72" s="76">
        <f>H72/(100-BE72)*100</f>
        <v>0</v>
      </c>
      <c r="BE72" s="76">
        <v>0</v>
      </c>
      <c r="BF72" s="76">
        <f>72</f>
        <v>72</v>
      </c>
      <c r="BH72" s="51">
        <f>G72*AO72</f>
        <v>0</v>
      </c>
      <c r="BI72" s="51">
        <f>G72*AP72</f>
        <v>0</v>
      </c>
      <c r="BJ72" s="51">
        <f>G72*H72</f>
        <v>0</v>
      </c>
    </row>
    <row r="73" spans="3:7" ht="12.75">
      <c r="C73" s="32" t="s">
        <v>231</v>
      </c>
      <c r="D73" s="42"/>
      <c r="E73" s="42"/>
      <c r="G73" s="52">
        <v>88</v>
      </c>
    </row>
    <row r="74" spans="3:7" ht="12.75">
      <c r="C74" s="32" t="s">
        <v>232</v>
      </c>
      <c r="D74" s="42"/>
      <c r="E74" s="42"/>
      <c r="G74" s="52">
        <v>71.2</v>
      </c>
    </row>
    <row r="75" spans="3:7" ht="12.75">
      <c r="C75" s="32" t="s">
        <v>233</v>
      </c>
      <c r="D75" s="42"/>
      <c r="E75" s="42"/>
      <c r="G75" s="52">
        <v>-27.2</v>
      </c>
    </row>
    <row r="76" spans="3:7" ht="12.75">
      <c r="C76" s="32" t="s">
        <v>234</v>
      </c>
      <c r="D76" s="42"/>
      <c r="E76" s="42"/>
      <c r="G76" s="52">
        <v>-53.5</v>
      </c>
    </row>
    <row r="77" spans="1:62" ht="12.75">
      <c r="A77" s="10" t="s">
        <v>29</v>
      </c>
      <c r="B77" s="10" t="s">
        <v>110</v>
      </c>
      <c r="C77" s="10" t="s">
        <v>235</v>
      </c>
      <c r="D77" s="41"/>
      <c r="E77" s="41"/>
      <c r="F77" s="10" t="s">
        <v>387</v>
      </c>
      <c r="G77" s="51">
        <v>13.1</v>
      </c>
      <c r="H77" s="51">
        <v>0</v>
      </c>
      <c r="I77" s="51">
        <f>G77*AO77</f>
        <v>0</v>
      </c>
      <c r="J77" s="51">
        <f>G77*AP77</f>
        <v>0</v>
      </c>
      <c r="K77" s="51">
        <f>G77*H77</f>
        <v>0</v>
      </c>
      <c r="L77" s="71" t="s">
        <v>407</v>
      </c>
      <c r="Z77" s="76">
        <f>IF(AQ77="5",BJ77,0)</f>
        <v>0</v>
      </c>
      <c r="AB77" s="76">
        <f>IF(AQ77="1",BH77,0)</f>
        <v>0</v>
      </c>
      <c r="AC77" s="76">
        <f>IF(AQ77="1",BI77,0)</f>
        <v>0</v>
      </c>
      <c r="AD77" s="76">
        <f>IF(AQ77="7",BH77,0)</f>
        <v>0</v>
      </c>
      <c r="AE77" s="76">
        <f>IF(AQ77="7",BI77,0)</f>
        <v>0</v>
      </c>
      <c r="AF77" s="76">
        <f>IF(AQ77="2",BH77,0)</f>
        <v>0</v>
      </c>
      <c r="AG77" s="76">
        <f>IF(AQ77="2",BI77,0)</f>
        <v>0</v>
      </c>
      <c r="AH77" s="76">
        <f>IF(AQ77="0",BJ77,0)</f>
        <v>0</v>
      </c>
      <c r="AI77" s="72"/>
      <c r="AJ77" s="51">
        <f>IF(AN77=0,K77,0)</f>
        <v>0</v>
      </c>
      <c r="AK77" s="51">
        <f>IF(AN77=15,K77,0)</f>
        <v>0</v>
      </c>
      <c r="AL77" s="51">
        <f>IF(AN77=21,K77,0)</f>
        <v>0</v>
      </c>
      <c r="AN77" s="76">
        <v>21</v>
      </c>
      <c r="AO77" s="76">
        <f>H77*0</f>
        <v>0</v>
      </c>
      <c r="AP77" s="76">
        <f>H77*(1-0)</f>
        <v>0</v>
      </c>
      <c r="AQ77" s="71" t="s">
        <v>7</v>
      </c>
      <c r="AV77" s="76">
        <f>AW77+AX77</f>
        <v>0</v>
      </c>
      <c r="AW77" s="76">
        <f>G77*AO77</f>
        <v>0</v>
      </c>
      <c r="AX77" s="76">
        <f>G77*AP77</f>
        <v>0</v>
      </c>
      <c r="AY77" s="77" t="s">
        <v>424</v>
      </c>
      <c r="AZ77" s="77" t="s">
        <v>440</v>
      </c>
      <c r="BA77" s="72" t="s">
        <v>445</v>
      </c>
      <c r="BC77" s="76">
        <f>AW77+AX77</f>
        <v>0</v>
      </c>
      <c r="BD77" s="76">
        <f>H77/(100-BE77)*100</f>
        <v>0</v>
      </c>
      <c r="BE77" s="76">
        <v>0</v>
      </c>
      <c r="BF77" s="76">
        <f>77</f>
        <v>77</v>
      </c>
      <c r="BH77" s="51">
        <f>G77*AO77</f>
        <v>0</v>
      </c>
      <c r="BI77" s="51">
        <f>G77*AP77</f>
        <v>0</v>
      </c>
      <c r="BJ77" s="51">
        <f>G77*H77</f>
        <v>0</v>
      </c>
    </row>
    <row r="78" spans="3:7" ht="12.75">
      <c r="C78" s="32" t="s">
        <v>229</v>
      </c>
      <c r="D78" s="42"/>
      <c r="E78" s="42"/>
      <c r="G78" s="52">
        <v>13.1</v>
      </c>
    </row>
    <row r="79" spans="1:47" ht="12.75">
      <c r="A79" s="11"/>
      <c r="B79" s="25" t="s">
        <v>23</v>
      </c>
      <c r="C79" s="25" t="s">
        <v>236</v>
      </c>
      <c r="D79" s="44"/>
      <c r="E79" s="44"/>
      <c r="F79" s="11" t="s">
        <v>6</v>
      </c>
      <c r="G79" s="11" t="s">
        <v>6</v>
      </c>
      <c r="H79" s="11" t="s">
        <v>6</v>
      </c>
      <c r="I79" s="79">
        <f>SUM(I80:I84)</f>
        <v>0</v>
      </c>
      <c r="J79" s="79">
        <f>SUM(J80:J84)</f>
        <v>0</v>
      </c>
      <c r="K79" s="79">
        <f>SUM(K80:K84)</f>
        <v>0</v>
      </c>
      <c r="L79" s="72"/>
      <c r="AI79" s="72"/>
      <c r="AS79" s="79">
        <f>SUM(AJ80:AJ84)</f>
        <v>0</v>
      </c>
      <c r="AT79" s="79">
        <f>SUM(AK80:AK84)</f>
        <v>0</v>
      </c>
      <c r="AU79" s="79">
        <f>SUM(AL80:AL84)</f>
        <v>0</v>
      </c>
    </row>
    <row r="80" spans="1:62" ht="12.75">
      <c r="A80" s="10" t="s">
        <v>30</v>
      </c>
      <c r="B80" s="10" t="s">
        <v>111</v>
      </c>
      <c r="C80" s="10" t="s">
        <v>237</v>
      </c>
      <c r="D80" s="41"/>
      <c r="E80" s="41"/>
      <c r="F80" s="10" t="s">
        <v>387</v>
      </c>
      <c r="G80" s="51">
        <v>53.4704</v>
      </c>
      <c r="H80" s="51">
        <v>0</v>
      </c>
      <c r="I80" s="51">
        <f>G80*AO80</f>
        <v>0</v>
      </c>
      <c r="J80" s="51">
        <f>G80*AP80</f>
        <v>0</v>
      </c>
      <c r="K80" s="51">
        <f>G80*H80</f>
        <v>0</v>
      </c>
      <c r="L80" s="71" t="s">
        <v>407</v>
      </c>
      <c r="Z80" s="76">
        <f>IF(AQ80="5",BJ80,0)</f>
        <v>0</v>
      </c>
      <c r="AB80" s="76">
        <f>IF(AQ80="1",BH80,0)</f>
        <v>0</v>
      </c>
      <c r="AC80" s="76">
        <f>IF(AQ80="1",BI80,0)</f>
        <v>0</v>
      </c>
      <c r="AD80" s="76">
        <f>IF(AQ80="7",BH80,0)</f>
        <v>0</v>
      </c>
      <c r="AE80" s="76">
        <f>IF(AQ80="7",BI80,0)</f>
        <v>0</v>
      </c>
      <c r="AF80" s="76">
        <f>IF(AQ80="2",BH80,0)</f>
        <v>0</v>
      </c>
      <c r="AG80" s="76">
        <f>IF(AQ80="2",BI80,0)</f>
        <v>0</v>
      </c>
      <c r="AH80" s="76">
        <f>IF(AQ80="0",BJ80,0)</f>
        <v>0</v>
      </c>
      <c r="AI80" s="72"/>
      <c r="AJ80" s="51">
        <f>IF(AN80=0,K80,0)</f>
        <v>0</v>
      </c>
      <c r="AK80" s="51">
        <f>IF(AN80=15,K80,0)</f>
        <v>0</v>
      </c>
      <c r="AL80" s="51">
        <f>IF(AN80=21,K80,0)</f>
        <v>0</v>
      </c>
      <c r="AN80" s="76">
        <v>21</v>
      </c>
      <c r="AO80" s="76">
        <f>H80*0</f>
        <v>0</v>
      </c>
      <c r="AP80" s="76">
        <f>H80*(1-0)</f>
        <v>0</v>
      </c>
      <c r="AQ80" s="71" t="s">
        <v>7</v>
      </c>
      <c r="AV80" s="76">
        <f>AW80+AX80</f>
        <v>0</v>
      </c>
      <c r="AW80" s="76">
        <f>G80*AO80</f>
        <v>0</v>
      </c>
      <c r="AX80" s="76">
        <f>G80*AP80</f>
        <v>0</v>
      </c>
      <c r="AY80" s="77" t="s">
        <v>425</v>
      </c>
      <c r="AZ80" s="77" t="s">
        <v>440</v>
      </c>
      <c r="BA80" s="72" t="s">
        <v>445</v>
      </c>
      <c r="BC80" s="76">
        <f>AW80+AX80</f>
        <v>0</v>
      </c>
      <c r="BD80" s="76">
        <f>H80/(100-BE80)*100</f>
        <v>0</v>
      </c>
      <c r="BE80" s="76">
        <v>0</v>
      </c>
      <c r="BF80" s="76">
        <f>80</f>
        <v>80</v>
      </c>
      <c r="BH80" s="51">
        <f>G80*AO80</f>
        <v>0</v>
      </c>
      <c r="BI80" s="51">
        <f>G80*AP80</f>
        <v>0</v>
      </c>
      <c r="BJ80" s="51">
        <f>G80*H80</f>
        <v>0</v>
      </c>
    </row>
    <row r="81" spans="3:7" ht="12.75">
      <c r="C81" s="32" t="s">
        <v>238</v>
      </c>
      <c r="D81" s="42"/>
      <c r="E81" s="42"/>
      <c r="G81" s="52">
        <v>35.476</v>
      </c>
    </row>
    <row r="82" spans="3:7" ht="12.75">
      <c r="C82" s="32" t="s">
        <v>239</v>
      </c>
      <c r="D82" s="42"/>
      <c r="E82" s="42"/>
      <c r="G82" s="52">
        <v>17.9944</v>
      </c>
    </row>
    <row r="83" spans="2:12" ht="12.75">
      <c r="B83" s="24" t="s">
        <v>88</v>
      </c>
      <c r="C83" s="33" t="s">
        <v>240</v>
      </c>
      <c r="D83" s="43"/>
      <c r="E83" s="43"/>
      <c r="F83" s="43"/>
      <c r="G83" s="43"/>
      <c r="H83" s="43"/>
      <c r="I83" s="43"/>
      <c r="J83" s="43"/>
      <c r="K83" s="43"/>
      <c r="L83" s="43"/>
    </row>
    <row r="84" spans="1:62" ht="12.75">
      <c r="A84" s="10" t="s">
        <v>31</v>
      </c>
      <c r="B84" s="10" t="s">
        <v>112</v>
      </c>
      <c r="C84" s="10" t="s">
        <v>241</v>
      </c>
      <c r="D84" s="41"/>
      <c r="E84" s="41"/>
      <c r="F84" s="10" t="s">
        <v>387</v>
      </c>
      <c r="G84" s="51">
        <v>27.2</v>
      </c>
      <c r="H84" s="51">
        <v>0</v>
      </c>
      <c r="I84" s="51">
        <f>G84*AO84</f>
        <v>0</v>
      </c>
      <c r="J84" s="51">
        <f>G84*AP84</f>
        <v>0</v>
      </c>
      <c r="K84" s="51">
        <f>G84*H84</f>
        <v>0</v>
      </c>
      <c r="L84" s="71" t="s">
        <v>407</v>
      </c>
      <c r="Z84" s="76">
        <f>IF(AQ84="5",BJ84,0)</f>
        <v>0</v>
      </c>
      <c r="AB84" s="76">
        <f>IF(AQ84="1",BH84,0)</f>
        <v>0</v>
      </c>
      <c r="AC84" s="76">
        <f>IF(AQ84="1",BI84,0)</f>
        <v>0</v>
      </c>
      <c r="AD84" s="76">
        <f>IF(AQ84="7",BH84,0)</f>
        <v>0</v>
      </c>
      <c r="AE84" s="76">
        <f>IF(AQ84="7",BI84,0)</f>
        <v>0</v>
      </c>
      <c r="AF84" s="76">
        <f>IF(AQ84="2",BH84,0)</f>
        <v>0</v>
      </c>
      <c r="AG84" s="76">
        <f>IF(AQ84="2",BI84,0)</f>
        <v>0</v>
      </c>
      <c r="AH84" s="76">
        <f>IF(AQ84="0",BJ84,0)</f>
        <v>0</v>
      </c>
      <c r="AI84" s="72"/>
      <c r="AJ84" s="51">
        <f>IF(AN84=0,K84,0)</f>
        <v>0</v>
      </c>
      <c r="AK84" s="51">
        <f>IF(AN84=15,K84,0)</f>
        <v>0</v>
      </c>
      <c r="AL84" s="51">
        <f>IF(AN84=21,K84,0)</f>
        <v>0</v>
      </c>
      <c r="AN84" s="76">
        <v>21</v>
      </c>
      <c r="AO84" s="76">
        <f>H84*0</f>
        <v>0</v>
      </c>
      <c r="AP84" s="76">
        <f>H84*(1-0)</f>
        <v>0</v>
      </c>
      <c r="AQ84" s="71" t="s">
        <v>7</v>
      </c>
      <c r="AV84" s="76">
        <f>AW84+AX84</f>
        <v>0</v>
      </c>
      <c r="AW84" s="76">
        <f>G84*AO84</f>
        <v>0</v>
      </c>
      <c r="AX84" s="76">
        <f>G84*AP84</f>
        <v>0</v>
      </c>
      <c r="AY84" s="77" t="s">
        <v>425</v>
      </c>
      <c r="AZ84" s="77" t="s">
        <v>440</v>
      </c>
      <c r="BA84" s="72" t="s">
        <v>445</v>
      </c>
      <c r="BC84" s="76">
        <f>AW84+AX84</f>
        <v>0</v>
      </c>
      <c r="BD84" s="76">
        <f>H84/(100-BE84)*100</f>
        <v>0</v>
      </c>
      <c r="BE84" s="76">
        <v>0</v>
      </c>
      <c r="BF84" s="76">
        <f>84</f>
        <v>84</v>
      </c>
      <c r="BH84" s="51">
        <f>G84*AO84</f>
        <v>0</v>
      </c>
      <c r="BI84" s="51">
        <f>G84*AP84</f>
        <v>0</v>
      </c>
      <c r="BJ84" s="51">
        <f>G84*H84</f>
        <v>0</v>
      </c>
    </row>
    <row r="85" spans="2:12" ht="12.75">
      <c r="B85" s="24" t="s">
        <v>88</v>
      </c>
      <c r="C85" s="33" t="s">
        <v>242</v>
      </c>
      <c r="D85" s="43"/>
      <c r="E85" s="43"/>
      <c r="F85" s="43"/>
      <c r="G85" s="43"/>
      <c r="H85" s="43"/>
      <c r="I85" s="43"/>
      <c r="J85" s="43"/>
      <c r="K85" s="43"/>
      <c r="L85" s="43"/>
    </row>
    <row r="86" spans="1:47" ht="12.75">
      <c r="A86" s="11"/>
      <c r="B86" s="25" t="s">
        <v>24</v>
      </c>
      <c r="C86" s="25" t="s">
        <v>243</v>
      </c>
      <c r="D86" s="44"/>
      <c r="E86" s="44"/>
      <c r="F86" s="11" t="s">
        <v>6</v>
      </c>
      <c r="G86" s="11" t="s">
        <v>6</v>
      </c>
      <c r="H86" s="11" t="s">
        <v>6</v>
      </c>
      <c r="I86" s="79">
        <f>SUM(I87:I93)</f>
        <v>0</v>
      </c>
      <c r="J86" s="79">
        <f>SUM(J87:J93)</f>
        <v>0</v>
      </c>
      <c r="K86" s="79">
        <f>SUM(K87:K93)</f>
        <v>0</v>
      </c>
      <c r="L86" s="72"/>
      <c r="AI86" s="72"/>
      <c r="AS86" s="79">
        <f>SUM(AJ87:AJ93)</f>
        <v>0</v>
      </c>
      <c r="AT86" s="79">
        <f>SUM(AK87:AK93)</f>
        <v>0</v>
      </c>
      <c r="AU86" s="79">
        <f>SUM(AL87:AL93)</f>
        <v>0</v>
      </c>
    </row>
    <row r="87" spans="1:62" ht="12.75">
      <c r="A87" s="10" t="s">
        <v>32</v>
      </c>
      <c r="B87" s="10" t="s">
        <v>113</v>
      </c>
      <c r="C87" s="10" t="s">
        <v>244</v>
      </c>
      <c r="D87" s="41"/>
      <c r="E87" s="41"/>
      <c r="F87" s="10" t="s">
        <v>385</v>
      </c>
      <c r="G87" s="51">
        <v>131</v>
      </c>
      <c r="H87" s="51">
        <v>0</v>
      </c>
      <c r="I87" s="51">
        <f>G87*AO87</f>
        <v>0</v>
      </c>
      <c r="J87" s="51">
        <f>G87*AP87</f>
        <v>0</v>
      </c>
      <c r="K87" s="51">
        <f>G87*H87</f>
        <v>0</v>
      </c>
      <c r="L87" s="71" t="s">
        <v>407</v>
      </c>
      <c r="Z87" s="76">
        <f>IF(AQ87="5",BJ87,0)</f>
        <v>0</v>
      </c>
      <c r="AB87" s="76">
        <f>IF(AQ87="1",BH87,0)</f>
        <v>0</v>
      </c>
      <c r="AC87" s="76">
        <f>IF(AQ87="1",BI87,0)</f>
        <v>0</v>
      </c>
      <c r="AD87" s="76">
        <f>IF(AQ87="7",BH87,0)</f>
        <v>0</v>
      </c>
      <c r="AE87" s="76">
        <f>IF(AQ87="7",BI87,0)</f>
        <v>0</v>
      </c>
      <c r="AF87" s="76">
        <f>IF(AQ87="2",BH87,0)</f>
        <v>0</v>
      </c>
      <c r="AG87" s="76">
        <f>IF(AQ87="2",BI87,0)</f>
        <v>0</v>
      </c>
      <c r="AH87" s="76">
        <f>IF(AQ87="0",BJ87,0)</f>
        <v>0</v>
      </c>
      <c r="AI87" s="72"/>
      <c r="AJ87" s="51">
        <f>IF(AN87=0,K87,0)</f>
        <v>0</v>
      </c>
      <c r="AK87" s="51">
        <f>IF(AN87=15,K87,0)</f>
        <v>0</v>
      </c>
      <c r="AL87" s="51">
        <f>IF(AN87=21,K87,0)</f>
        <v>0</v>
      </c>
      <c r="AN87" s="76">
        <v>21</v>
      </c>
      <c r="AO87" s="76">
        <f>H87*0</f>
        <v>0</v>
      </c>
      <c r="AP87" s="76">
        <f>H87*(1-0)</f>
        <v>0</v>
      </c>
      <c r="AQ87" s="71" t="s">
        <v>7</v>
      </c>
      <c r="AV87" s="76">
        <f>AW87+AX87</f>
        <v>0</v>
      </c>
      <c r="AW87" s="76">
        <f>G87*AO87</f>
        <v>0</v>
      </c>
      <c r="AX87" s="76">
        <f>G87*AP87</f>
        <v>0</v>
      </c>
      <c r="AY87" s="77" t="s">
        <v>426</v>
      </c>
      <c r="AZ87" s="77" t="s">
        <v>440</v>
      </c>
      <c r="BA87" s="72" t="s">
        <v>445</v>
      </c>
      <c r="BC87" s="76">
        <f>AW87+AX87</f>
        <v>0</v>
      </c>
      <c r="BD87" s="76">
        <f>H87/(100-BE87)*100</f>
        <v>0</v>
      </c>
      <c r="BE87" s="76">
        <v>0</v>
      </c>
      <c r="BF87" s="76">
        <f>87</f>
        <v>87</v>
      </c>
      <c r="BH87" s="51">
        <f>G87*AO87</f>
        <v>0</v>
      </c>
      <c r="BI87" s="51">
        <f>G87*AP87</f>
        <v>0</v>
      </c>
      <c r="BJ87" s="51">
        <f>G87*H87</f>
        <v>0</v>
      </c>
    </row>
    <row r="88" spans="3:7" ht="12.75">
      <c r="C88" s="32" t="s">
        <v>245</v>
      </c>
      <c r="D88" s="42"/>
      <c r="E88" s="42"/>
      <c r="G88" s="52">
        <v>131</v>
      </c>
    </row>
    <row r="89" spans="1:62" ht="12.75">
      <c r="A89" s="10" t="s">
        <v>33</v>
      </c>
      <c r="B89" s="10" t="s">
        <v>114</v>
      </c>
      <c r="C89" s="10" t="s">
        <v>246</v>
      </c>
      <c r="D89" s="41"/>
      <c r="E89" s="41"/>
      <c r="F89" s="10" t="s">
        <v>385</v>
      </c>
      <c r="G89" s="51">
        <v>398.65</v>
      </c>
      <c r="H89" s="51">
        <v>0</v>
      </c>
      <c r="I89" s="51">
        <f>G89*AO89</f>
        <v>0</v>
      </c>
      <c r="J89" s="51">
        <f>G89*AP89</f>
        <v>0</v>
      </c>
      <c r="K89" s="51">
        <f>G89*H89</f>
        <v>0</v>
      </c>
      <c r="L89" s="71" t="s">
        <v>407</v>
      </c>
      <c r="Z89" s="76">
        <f>IF(AQ89="5",BJ89,0)</f>
        <v>0</v>
      </c>
      <c r="AB89" s="76">
        <f>IF(AQ89="1",BH89,0)</f>
        <v>0</v>
      </c>
      <c r="AC89" s="76">
        <f>IF(AQ89="1",BI89,0)</f>
        <v>0</v>
      </c>
      <c r="AD89" s="76">
        <f>IF(AQ89="7",BH89,0)</f>
        <v>0</v>
      </c>
      <c r="AE89" s="76">
        <f>IF(AQ89="7",BI89,0)</f>
        <v>0</v>
      </c>
      <c r="AF89" s="76">
        <f>IF(AQ89="2",BH89,0)</f>
        <v>0</v>
      </c>
      <c r="AG89" s="76">
        <f>IF(AQ89="2",BI89,0)</f>
        <v>0</v>
      </c>
      <c r="AH89" s="76">
        <f>IF(AQ89="0",BJ89,0)</f>
        <v>0</v>
      </c>
      <c r="AI89" s="72"/>
      <c r="AJ89" s="51">
        <f>IF(AN89=0,K89,0)</f>
        <v>0</v>
      </c>
      <c r="AK89" s="51">
        <f>IF(AN89=15,K89,0)</f>
        <v>0</v>
      </c>
      <c r="AL89" s="51">
        <f>IF(AN89=21,K89,0)</f>
        <v>0</v>
      </c>
      <c r="AN89" s="76">
        <v>21</v>
      </c>
      <c r="AO89" s="76">
        <f>H89*0</f>
        <v>0</v>
      </c>
      <c r="AP89" s="76">
        <f>H89*(1-0)</f>
        <v>0</v>
      </c>
      <c r="AQ89" s="71" t="s">
        <v>7</v>
      </c>
      <c r="AV89" s="76">
        <f>AW89+AX89</f>
        <v>0</v>
      </c>
      <c r="AW89" s="76">
        <f>G89*AO89</f>
        <v>0</v>
      </c>
      <c r="AX89" s="76">
        <f>G89*AP89</f>
        <v>0</v>
      </c>
      <c r="AY89" s="77" t="s">
        <v>426</v>
      </c>
      <c r="AZ89" s="77" t="s">
        <v>440</v>
      </c>
      <c r="BA89" s="72" t="s">
        <v>445</v>
      </c>
      <c r="BC89" s="76">
        <f>AW89+AX89</f>
        <v>0</v>
      </c>
      <c r="BD89" s="76">
        <f>H89/(100-BE89)*100</f>
        <v>0</v>
      </c>
      <c r="BE89" s="76">
        <v>0</v>
      </c>
      <c r="BF89" s="76">
        <f>89</f>
        <v>89</v>
      </c>
      <c r="BH89" s="51">
        <f>G89*AO89</f>
        <v>0</v>
      </c>
      <c r="BI89" s="51">
        <f>G89*AP89</f>
        <v>0</v>
      </c>
      <c r="BJ89" s="51">
        <f>G89*H89</f>
        <v>0</v>
      </c>
    </row>
    <row r="90" spans="3:7" ht="12.75">
      <c r="C90" s="32" t="s">
        <v>247</v>
      </c>
      <c r="D90" s="42"/>
      <c r="E90" s="42"/>
      <c r="G90" s="52">
        <v>398.65</v>
      </c>
    </row>
    <row r="91" spans="2:12" ht="12.75">
      <c r="B91" s="24" t="s">
        <v>88</v>
      </c>
      <c r="C91" s="33" t="s">
        <v>248</v>
      </c>
      <c r="D91" s="43"/>
      <c r="E91" s="43"/>
      <c r="F91" s="43"/>
      <c r="G91" s="43"/>
      <c r="H91" s="43"/>
      <c r="I91" s="43"/>
      <c r="J91" s="43"/>
      <c r="K91" s="43"/>
      <c r="L91" s="43"/>
    </row>
    <row r="92" spans="1:62" ht="12.75">
      <c r="A92" s="10" t="s">
        <v>34</v>
      </c>
      <c r="B92" s="10" t="s">
        <v>115</v>
      </c>
      <c r="C92" s="10" t="s">
        <v>249</v>
      </c>
      <c r="D92" s="41"/>
      <c r="E92" s="41"/>
      <c r="F92" s="10" t="s">
        <v>385</v>
      </c>
      <c r="G92" s="51">
        <v>131</v>
      </c>
      <c r="H92" s="51">
        <v>0</v>
      </c>
      <c r="I92" s="51">
        <f>G92*AO92</f>
        <v>0</v>
      </c>
      <c r="J92" s="51">
        <f>G92*AP92</f>
        <v>0</v>
      </c>
      <c r="K92" s="51">
        <f>G92*H92</f>
        <v>0</v>
      </c>
      <c r="L92" s="71" t="s">
        <v>407</v>
      </c>
      <c r="Z92" s="76">
        <f>IF(AQ92="5",BJ92,0)</f>
        <v>0</v>
      </c>
      <c r="AB92" s="76">
        <f>IF(AQ92="1",BH92,0)</f>
        <v>0</v>
      </c>
      <c r="AC92" s="76">
        <f>IF(AQ92="1",BI92,0)</f>
        <v>0</v>
      </c>
      <c r="AD92" s="76">
        <f>IF(AQ92="7",BH92,0)</f>
        <v>0</v>
      </c>
      <c r="AE92" s="76">
        <f>IF(AQ92="7",BI92,0)</f>
        <v>0</v>
      </c>
      <c r="AF92" s="76">
        <f>IF(AQ92="2",BH92,0)</f>
        <v>0</v>
      </c>
      <c r="AG92" s="76">
        <f>IF(AQ92="2",BI92,0)</f>
        <v>0</v>
      </c>
      <c r="AH92" s="76">
        <f>IF(AQ92="0",BJ92,0)</f>
        <v>0</v>
      </c>
      <c r="AI92" s="72"/>
      <c r="AJ92" s="51">
        <f>IF(AN92=0,K92,0)</f>
        <v>0</v>
      </c>
      <c r="AK92" s="51">
        <f>IF(AN92=15,K92,0)</f>
        <v>0</v>
      </c>
      <c r="AL92" s="51">
        <f>IF(AN92=21,K92,0)</f>
        <v>0</v>
      </c>
      <c r="AN92" s="76">
        <v>21</v>
      </c>
      <c r="AO92" s="76">
        <f>H92*0.162380952380952</f>
        <v>0</v>
      </c>
      <c r="AP92" s="76">
        <f>H92*(1-0.162380952380952)</f>
        <v>0</v>
      </c>
      <c r="AQ92" s="71" t="s">
        <v>7</v>
      </c>
      <c r="AV92" s="76">
        <f>AW92+AX92</f>
        <v>0</v>
      </c>
      <c r="AW92" s="76">
        <f>G92*AO92</f>
        <v>0</v>
      </c>
      <c r="AX92" s="76">
        <f>G92*AP92</f>
        <v>0</v>
      </c>
      <c r="AY92" s="77" t="s">
        <v>426</v>
      </c>
      <c r="AZ92" s="77" t="s">
        <v>440</v>
      </c>
      <c r="BA92" s="72" t="s">
        <v>445</v>
      </c>
      <c r="BC92" s="76">
        <f>AW92+AX92</f>
        <v>0</v>
      </c>
      <c r="BD92" s="76">
        <f>H92/(100-BE92)*100</f>
        <v>0</v>
      </c>
      <c r="BE92" s="76">
        <v>0</v>
      </c>
      <c r="BF92" s="76">
        <f>92</f>
        <v>92</v>
      </c>
      <c r="BH92" s="51">
        <f>G92*AO92</f>
        <v>0</v>
      </c>
      <c r="BI92" s="51">
        <f>G92*AP92</f>
        <v>0</v>
      </c>
      <c r="BJ92" s="51">
        <f>G92*H92</f>
        <v>0</v>
      </c>
    </row>
    <row r="93" spans="1:62" ht="12.75">
      <c r="A93" s="10" t="s">
        <v>35</v>
      </c>
      <c r="B93" s="10" t="s">
        <v>116</v>
      </c>
      <c r="C93" s="10" t="s">
        <v>250</v>
      </c>
      <c r="D93" s="41"/>
      <c r="E93" s="41"/>
      <c r="F93" s="10" t="s">
        <v>385</v>
      </c>
      <c r="G93" s="51">
        <v>131</v>
      </c>
      <c r="H93" s="51">
        <v>0</v>
      </c>
      <c r="I93" s="51">
        <f>G93*AO93</f>
        <v>0</v>
      </c>
      <c r="J93" s="51">
        <f>G93*AP93</f>
        <v>0</v>
      </c>
      <c r="K93" s="51">
        <f>G93*H93</f>
        <v>0</v>
      </c>
      <c r="L93" s="71" t="s">
        <v>408</v>
      </c>
      <c r="Z93" s="76">
        <f>IF(AQ93="5",BJ93,0)</f>
        <v>0</v>
      </c>
      <c r="AB93" s="76">
        <f>IF(AQ93="1",BH93,0)</f>
        <v>0</v>
      </c>
      <c r="AC93" s="76">
        <f>IF(AQ93="1",BI93,0)</f>
        <v>0</v>
      </c>
      <c r="AD93" s="76">
        <f>IF(AQ93="7",BH93,0)</f>
        <v>0</v>
      </c>
      <c r="AE93" s="76">
        <f>IF(AQ93="7",BI93,0)</f>
        <v>0</v>
      </c>
      <c r="AF93" s="76">
        <f>IF(AQ93="2",BH93,0)</f>
        <v>0</v>
      </c>
      <c r="AG93" s="76">
        <f>IF(AQ93="2",BI93,0)</f>
        <v>0</v>
      </c>
      <c r="AH93" s="76">
        <f>IF(AQ93="0",BJ93,0)</f>
        <v>0</v>
      </c>
      <c r="AI93" s="72"/>
      <c r="AJ93" s="51">
        <f>IF(AN93=0,K93,0)</f>
        <v>0</v>
      </c>
      <c r="AK93" s="51">
        <f>IF(AN93=15,K93,0)</f>
        <v>0</v>
      </c>
      <c r="AL93" s="51">
        <f>IF(AN93=21,K93,0)</f>
        <v>0</v>
      </c>
      <c r="AN93" s="76">
        <v>21</v>
      </c>
      <c r="AO93" s="76">
        <f>H93*0</f>
        <v>0</v>
      </c>
      <c r="AP93" s="76">
        <f>H93*(1-0)</f>
        <v>0</v>
      </c>
      <c r="AQ93" s="71" t="s">
        <v>7</v>
      </c>
      <c r="AV93" s="76">
        <f>AW93+AX93</f>
        <v>0</v>
      </c>
      <c r="AW93" s="76">
        <f>G93*AO93</f>
        <v>0</v>
      </c>
      <c r="AX93" s="76">
        <f>G93*AP93</f>
        <v>0</v>
      </c>
      <c r="AY93" s="77" t="s">
        <v>426</v>
      </c>
      <c r="AZ93" s="77" t="s">
        <v>440</v>
      </c>
      <c r="BA93" s="72" t="s">
        <v>445</v>
      </c>
      <c r="BC93" s="76">
        <f>AW93+AX93</f>
        <v>0</v>
      </c>
      <c r="BD93" s="76">
        <f>H93/(100-BE93)*100</f>
        <v>0</v>
      </c>
      <c r="BE93" s="76">
        <v>0</v>
      </c>
      <c r="BF93" s="76">
        <f>93</f>
        <v>93</v>
      </c>
      <c r="BH93" s="51">
        <f>G93*AO93</f>
        <v>0</v>
      </c>
      <c r="BI93" s="51">
        <f>G93*AP93</f>
        <v>0</v>
      </c>
      <c r="BJ93" s="51">
        <f>G93*H93</f>
        <v>0</v>
      </c>
    </row>
    <row r="94" spans="2:12" ht="12.75">
      <c r="B94" s="24" t="s">
        <v>88</v>
      </c>
      <c r="C94" s="33" t="s">
        <v>251</v>
      </c>
      <c r="D94" s="43"/>
      <c r="E94" s="43"/>
      <c r="F94" s="43"/>
      <c r="G94" s="43"/>
      <c r="H94" s="43"/>
      <c r="I94" s="43"/>
      <c r="J94" s="43"/>
      <c r="K94" s="43"/>
      <c r="L94" s="43"/>
    </row>
    <row r="95" spans="1:47" ht="12.75">
      <c r="A95" s="11"/>
      <c r="B95" s="25" t="s">
        <v>25</v>
      </c>
      <c r="C95" s="25" t="s">
        <v>252</v>
      </c>
      <c r="D95" s="44"/>
      <c r="E95" s="44"/>
      <c r="F95" s="11" t="s">
        <v>6</v>
      </c>
      <c r="G95" s="11" t="s">
        <v>6</v>
      </c>
      <c r="H95" s="11" t="s">
        <v>6</v>
      </c>
      <c r="I95" s="79">
        <f>SUM(I96:I96)</f>
        <v>0</v>
      </c>
      <c r="J95" s="79">
        <f>SUM(J96:J96)</f>
        <v>0</v>
      </c>
      <c r="K95" s="79">
        <f>SUM(K96:K96)</f>
        <v>0</v>
      </c>
      <c r="L95" s="72"/>
      <c r="AI95" s="72"/>
      <c r="AS95" s="79">
        <f>SUM(AJ96:AJ96)</f>
        <v>0</v>
      </c>
      <c r="AT95" s="79">
        <f>SUM(AK96:AK96)</f>
        <v>0</v>
      </c>
      <c r="AU95" s="79">
        <f>SUM(AL96:AL96)</f>
        <v>0</v>
      </c>
    </row>
    <row r="96" spans="1:62" ht="12.75">
      <c r="A96" s="10" t="s">
        <v>36</v>
      </c>
      <c r="B96" s="10" t="s">
        <v>117</v>
      </c>
      <c r="C96" s="10" t="s">
        <v>253</v>
      </c>
      <c r="D96" s="41"/>
      <c r="E96" s="41"/>
      <c r="F96" s="10" t="s">
        <v>387</v>
      </c>
      <c r="G96" s="51">
        <v>78.5</v>
      </c>
      <c r="H96" s="51">
        <v>0</v>
      </c>
      <c r="I96" s="51">
        <f>G96*AO96</f>
        <v>0</v>
      </c>
      <c r="J96" s="51">
        <f>G96*AP96</f>
        <v>0</v>
      </c>
      <c r="K96" s="51">
        <f>G96*H96</f>
        <v>0</v>
      </c>
      <c r="L96" s="71" t="s">
        <v>407</v>
      </c>
      <c r="Z96" s="76">
        <f>IF(AQ96="5",BJ96,0)</f>
        <v>0</v>
      </c>
      <c r="AB96" s="76">
        <f>IF(AQ96="1",BH96,0)</f>
        <v>0</v>
      </c>
      <c r="AC96" s="76">
        <f>IF(AQ96="1",BI96,0)</f>
        <v>0</v>
      </c>
      <c r="AD96" s="76">
        <f>IF(AQ96="7",BH96,0)</f>
        <v>0</v>
      </c>
      <c r="AE96" s="76">
        <f>IF(AQ96="7",BI96,0)</f>
        <v>0</v>
      </c>
      <c r="AF96" s="76">
        <f>IF(AQ96="2",BH96,0)</f>
        <v>0</v>
      </c>
      <c r="AG96" s="76">
        <f>IF(AQ96="2",BI96,0)</f>
        <v>0</v>
      </c>
      <c r="AH96" s="76">
        <f>IF(AQ96="0",BJ96,0)</f>
        <v>0</v>
      </c>
      <c r="AI96" s="72"/>
      <c r="AJ96" s="51">
        <f>IF(AN96=0,K96,0)</f>
        <v>0</v>
      </c>
      <c r="AK96" s="51">
        <f>IF(AN96=15,K96,0)</f>
        <v>0</v>
      </c>
      <c r="AL96" s="51">
        <f>IF(AN96=21,K96,0)</f>
        <v>0</v>
      </c>
      <c r="AN96" s="76">
        <v>21</v>
      </c>
      <c r="AO96" s="76">
        <f>H96*0</f>
        <v>0</v>
      </c>
      <c r="AP96" s="76">
        <f>H96*(1-0)</f>
        <v>0</v>
      </c>
      <c r="AQ96" s="71" t="s">
        <v>7</v>
      </c>
      <c r="AV96" s="76">
        <f>AW96+AX96</f>
        <v>0</v>
      </c>
      <c r="AW96" s="76">
        <f>G96*AO96</f>
        <v>0</v>
      </c>
      <c r="AX96" s="76">
        <f>G96*AP96</f>
        <v>0</v>
      </c>
      <c r="AY96" s="77" t="s">
        <v>427</v>
      </c>
      <c r="AZ96" s="77" t="s">
        <v>440</v>
      </c>
      <c r="BA96" s="72" t="s">
        <v>445</v>
      </c>
      <c r="BC96" s="76">
        <f>AW96+AX96</f>
        <v>0</v>
      </c>
      <c r="BD96" s="76">
        <f>H96/(100-BE96)*100</f>
        <v>0</v>
      </c>
      <c r="BE96" s="76">
        <v>0</v>
      </c>
      <c r="BF96" s="76">
        <f>96</f>
        <v>96</v>
      </c>
      <c r="BH96" s="51">
        <f>G96*AO96</f>
        <v>0</v>
      </c>
      <c r="BI96" s="51">
        <f>G96*AP96</f>
        <v>0</v>
      </c>
      <c r="BJ96" s="51">
        <f>G96*H96</f>
        <v>0</v>
      </c>
    </row>
    <row r="97" spans="3:7" ht="12.75">
      <c r="C97" s="32" t="s">
        <v>254</v>
      </c>
      <c r="D97" s="42"/>
      <c r="E97" s="42"/>
      <c r="G97" s="52">
        <v>78.5</v>
      </c>
    </row>
    <row r="98" spans="1:47" ht="12.75">
      <c r="A98" s="11"/>
      <c r="B98" s="25" t="s">
        <v>27</v>
      </c>
      <c r="C98" s="25" t="s">
        <v>255</v>
      </c>
      <c r="D98" s="44"/>
      <c r="E98" s="44"/>
      <c r="F98" s="11" t="s">
        <v>6</v>
      </c>
      <c r="G98" s="11" t="s">
        <v>6</v>
      </c>
      <c r="H98" s="11" t="s">
        <v>6</v>
      </c>
      <c r="I98" s="79">
        <f>SUM(I99:I101)</f>
        <v>0</v>
      </c>
      <c r="J98" s="79">
        <f>SUM(J99:J101)</f>
        <v>0</v>
      </c>
      <c r="K98" s="79">
        <f>SUM(K99:K101)</f>
        <v>0</v>
      </c>
      <c r="L98" s="72"/>
      <c r="AI98" s="72"/>
      <c r="AS98" s="79">
        <f>SUM(AJ99:AJ101)</f>
        <v>0</v>
      </c>
      <c r="AT98" s="79">
        <f>SUM(AK99:AK101)</f>
        <v>0</v>
      </c>
      <c r="AU98" s="79">
        <f>SUM(AL99:AL101)</f>
        <v>0</v>
      </c>
    </row>
    <row r="99" spans="1:62" ht="12.75">
      <c r="A99" s="10" t="s">
        <v>37</v>
      </c>
      <c r="B99" s="10" t="s">
        <v>118</v>
      </c>
      <c r="C99" s="10" t="s">
        <v>256</v>
      </c>
      <c r="D99" s="41"/>
      <c r="E99" s="41"/>
      <c r="F99" s="10" t="s">
        <v>386</v>
      </c>
      <c r="G99" s="51">
        <v>88</v>
      </c>
      <c r="H99" s="51">
        <v>0</v>
      </c>
      <c r="I99" s="51">
        <f>G99*AO99</f>
        <v>0</v>
      </c>
      <c r="J99" s="51">
        <f>G99*AP99</f>
        <v>0</v>
      </c>
      <c r="K99" s="51">
        <f>G99*H99</f>
        <v>0</v>
      </c>
      <c r="L99" s="71" t="s">
        <v>408</v>
      </c>
      <c r="Z99" s="76">
        <f>IF(AQ99="5",BJ99,0)</f>
        <v>0</v>
      </c>
      <c r="AB99" s="76">
        <f>IF(AQ99="1",BH99,0)</f>
        <v>0</v>
      </c>
      <c r="AC99" s="76">
        <f>IF(AQ99="1",BI99,0)</f>
        <v>0</v>
      </c>
      <c r="AD99" s="76">
        <f>IF(AQ99="7",BH99,0)</f>
        <v>0</v>
      </c>
      <c r="AE99" s="76">
        <f>IF(AQ99="7",BI99,0)</f>
        <v>0</v>
      </c>
      <c r="AF99" s="76">
        <f>IF(AQ99="2",BH99,0)</f>
        <v>0</v>
      </c>
      <c r="AG99" s="76">
        <f>IF(AQ99="2",BI99,0)</f>
        <v>0</v>
      </c>
      <c r="AH99" s="76">
        <f>IF(AQ99="0",BJ99,0)</f>
        <v>0</v>
      </c>
      <c r="AI99" s="72"/>
      <c r="AJ99" s="51">
        <f>IF(AN99=0,K99,0)</f>
        <v>0</v>
      </c>
      <c r="AK99" s="51">
        <f>IF(AN99=15,K99,0)</f>
        <v>0</v>
      </c>
      <c r="AL99" s="51">
        <f>IF(AN99=21,K99,0)</f>
        <v>0</v>
      </c>
      <c r="AN99" s="76">
        <v>21</v>
      </c>
      <c r="AO99" s="76">
        <f>H99*0.577056856187291</f>
        <v>0</v>
      </c>
      <c r="AP99" s="76">
        <f>H99*(1-0.577056856187291)</f>
        <v>0</v>
      </c>
      <c r="AQ99" s="71" t="s">
        <v>7</v>
      </c>
      <c r="AV99" s="76">
        <f>AW99+AX99</f>
        <v>0</v>
      </c>
      <c r="AW99" s="76">
        <f>G99*AO99</f>
        <v>0</v>
      </c>
      <c r="AX99" s="76">
        <f>G99*AP99</f>
        <v>0</v>
      </c>
      <c r="AY99" s="77" t="s">
        <v>428</v>
      </c>
      <c r="AZ99" s="77" t="s">
        <v>441</v>
      </c>
      <c r="BA99" s="72" t="s">
        <v>445</v>
      </c>
      <c r="BC99" s="76">
        <f>AW99+AX99</f>
        <v>0</v>
      </c>
      <c r="BD99" s="76">
        <f>H99/(100-BE99)*100</f>
        <v>0</v>
      </c>
      <c r="BE99" s="76">
        <v>0</v>
      </c>
      <c r="BF99" s="76">
        <f>99</f>
        <v>99</v>
      </c>
      <c r="BH99" s="51">
        <f>G99*AO99</f>
        <v>0</v>
      </c>
      <c r="BI99" s="51">
        <f>G99*AP99</f>
        <v>0</v>
      </c>
      <c r="BJ99" s="51">
        <f>G99*H99</f>
        <v>0</v>
      </c>
    </row>
    <row r="100" spans="2:12" ht="25.5" customHeight="1">
      <c r="B100" s="24" t="s">
        <v>88</v>
      </c>
      <c r="C100" s="33" t="s">
        <v>257</v>
      </c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62" ht="12.75">
      <c r="A101" s="10" t="s">
        <v>38</v>
      </c>
      <c r="B101" s="10" t="s">
        <v>119</v>
      </c>
      <c r="C101" s="10" t="s">
        <v>258</v>
      </c>
      <c r="D101" s="41"/>
      <c r="E101" s="41"/>
      <c r="F101" s="10" t="s">
        <v>387</v>
      </c>
      <c r="G101" s="51">
        <v>7.7</v>
      </c>
      <c r="H101" s="51">
        <v>0</v>
      </c>
      <c r="I101" s="51">
        <f>G101*AO101</f>
        <v>0</v>
      </c>
      <c r="J101" s="51">
        <f>G101*AP101</f>
        <v>0</v>
      </c>
      <c r="K101" s="51">
        <f>G101*H101</f>
        <v>0</v>
      </c>
      <c r="L101" s="71" t="s">
        <v>408</v>
      </c>
      <c r="Z101" s="76">
        <f>IF(AQ101="5",BJ101,0)</f>
        <v>0</v>
      </c>
      <c r="AB101" s="76">
        <f>IF(AQ101="1",BH101,0)</f>
        <v>0</v>
      </c>
      <c r="AC101" s="76">
        <f>IF(AQ101="1",BI101,0)</f>
        <v>0</v>
      </c>
      <c r="AD101" s="76">
        <f>IF(AQ101="7",BH101,0)</f>
        <v>0</v>
      </c>
      <c r="AE101" s="76">
        <f>IF(AQ101="7",BI101,0)</f>
        <v>0</v>
      </c>
      <c r="AF101" s="76">
        <f>IF(AQ101="2",BH101,0)</f>
        <v>0</v>
      </c>
      <c r="AG101" s="76">
        <f>IF(AQ101="2",BI101,0)</f>
        <v>0</v>
      </c>
      <c r="AH101" s="76">
        <f>IF(AQ101="0",BJ101,0)</f>
        <v>0</v>
      </c>
      <c r="AI101" s="72"/>
      <c r="AJ101" s="51">
        <f>IF(AN101=0,K101,0)</f>
        <v>0</v>
      </c>
      <c r="AK101" s="51">
        <f>IF(AN101=15,K101,0)</f>
        <v>0</v>
      </c>
      <c r="AL101" s="51">
        <f>IF(AN101=21,K101,0)</f>
        <v>0</v>
      </c>
      <c r="AN101" s="76">
        <v>21</v>
      </c>
      <c r="AO101" s="76">
        <f>H101*0.716270742358079</f>
        <v>0</v>
      </c>
      <c r="AP101" s="76">
        <f>H101*(1-0.716270742358079)</f>
        <v>0</v>
      </c>
      <c r="AQ101" s="71" t="s">
        <v>7</v>
      </c>
      <c r="AV101" s="76">
        <f>AW101+AX101</f>
        <v>0</v>
      </c>
      <c r="AW101" s="76">
        <f>G101*AO101</f>
        <v>0</v>
      </c>
      <c r="AX101" s="76">
        <f>G101*AP101</f>
        <v>0</v>
      </c>
      <c r="AY101" s="77" t="s">
        <v>428</v>
      </c>
      <c r="AZ101" s="77" t="s">
        <v>441</v>
      </c>
      <c r="BA101" s="72" t="s">
        <v>445</v>
      </c>
      <c r="BC101" s="76">
        <f>AW101+AX101</f>
        <v>0</v>
      </c>
      <c r="BD101" s="76">
        <f>H101/(100-BE101)*100</f>
        <v>0</v>
      </c>
      <c r="BE101" s="76">
        <v>0</v>
      </c>
      <c r="BF101" s="76">
        <f>101</f>
        <v>101</v>
      </c>
      <c r="BH101" s="51">
        <f>G101*AO101</f>
        <v>0</v>
      </c>
      <c r="BI101" s="51">
        <f>G101*AP101</f>
        <v>0</v>
      </c>
      <c r="BJ101" s="51">
        <f>G101*H101</f>
        <v>0</v>
      </c>
    </row>
    <row r="102" spans="3:7" ht="12.75">
      <c r="C102" s="32" t="s">
        <v>214</v>
      </c>
      <c r="D102" s="42"/>
      <c r="E102" s="42"/>
      <c r="G102" s="52">
        <v>7.7</v>
      </c>
    </row>
    <row r="103" spans="1:47" ht="12.75">
      <c r="A103" s="11"/>
      <c r="B103" s="25" t="s">
        <v>62</v>
      </c>
      <c r="C103" s="25" t="s">
        <v>259</v>
      </c>
      <c r="D103" s="44"/>
      <c r="E103" s="44"/>
      <c r="F103" s="11" t="s">
        <v>6</v>
      </c>
      <c r="G103" s="11" t="s">
        <v>6</v>
      </c>
      <c r="H103" s="11" t="s">
        <v>6</v>
      </c>
      <c r="I103" s="79">
        <f>SUM(I104:I114)</f>
        <v>0</v>
      </c>
      <c r="J103" s="79">
        <f>SUM(J104:J114)</f>
        <v>0</v>
      </c>
      <c r="K103" s="79">
        <f>SUM(K104:K114)</f>
        <v>0</v>
      </c>
      <c r="L103" s="72"/>
      <c r="AI103" s="72"/>
      <c r="AS103" s="79">
        <f>SUM(AJ104:AJ114)</f>
        <v>0</v>
      </c>
      <c r="AT103" s="79">
        <f>SUM(AK104:AK114)</f>
        <v>0</v>
      </c>
      <c r="AU103" s="79">
        <f>SUM(AL104:AL114)</f>
        <v>0</v>
      </c>
    </row>
    <row r="104" spans="1:62" ht="12.75">
      <c r="A104" s="10" t="s">
        <v>39</v>
      </c>
      <c r="B104" s="10" t="s">
        <v>120</v>
      </c>
      <c r="C104" s="10" t="s">
        <v>260</v>
      </c>
      <c r="D104" s="41"/>
      <c r="E104" s="41"/>
      <c r="F104" s="10" t="s">
        <v>385</v>
      </c>
      <c r="G104" s="51">
        <v>41</v>
      </c>
      <c r="H104" s="51">
        <v>0</v>
      </c>
      <c r="I104" s="51">
        <f>G104*AO104</f>
        <v>0</v>
      </c>
      <c r="J104" s="51">
        <f>G104*AP104</f>
        <v>0</v>
      </c>
      <c r="K104" s="51">
        <f>G104*H104</f>
        <v>0</v>
      </c>
      <c r="L104" s="71" t="s">
        <v>407</v>
      </c>
      <c r="Z104" s="76">
        <f>IF(AQ104="5",BJ104,0)</f>
        <v>0</v>
      </c>
      <c r="AB104" s="76">
        <f>IF(AQ104="1",BH104,0)</f>
        <v>0</v>
      </c>
      <c r="AC104" s="76">
        <f>IF(AQ104="1",BI104,0)</f>
        <v>0</v>
      </c>
      <c r="AD104" s="76">
        <f>IF(AQ104="7",BH104,0)</f>
        <v>0</v>
      </c>
      <c r="AE104" s="76">
        <f>IF(AQ104="7",BI104,0)</f>
        <v>0</v>
      </c>
      <c r="AF104" s="76">
        <f>IF(AQ104="2",BH104,0)</f>
        <v>0</v>
      </c>
      <c r="AG104" s="76">
        <f>IF(AQ104="2",BI104,0)</f>
        <v>0</v>
      </c>
      <c r="AH104" s="76">
        <f>IF(AQ104="0",BJ104,0)</f>
        <v>0</v>
      </c>
      <c r="AI104" s="72"/>
      <c r="AJ104" s="51">
        <f>IF(AN104=0,K104,0)</f>
        <v>0</v>
      </c>
      <c r="AK104" s="51">
        <f>IF(AN104=15,K104,0)</f>
        <v>0</v>
      </c>
      <c r="AL104" s="51">
        <f>IF(AN104=21,K104,0)</f>
        <v>0</v>
      </c>
      <c r="AN104" s="76">
        <v>21</v>
      </c>
      <c r="AO104" s="76">
        <f>H104*0.865915492957747</f>
        <v>0</v>
      </c>
      <c r="AP104" s="76">
        <f>H104*(1-0.865915492957747)</f>
        <v>0</v>
      </c>
      <c r="AQ104" s="71" t="s">
        <v>7</v>
      </c>
      <c r="AV104" s="76">
        <f>AW104+AX104</f>
        <v>0</v>
      </c>
      <c r="AW104" s="76">
        <f>G104*AO104</f>
        <v>0</v>
      </c>
      <c r="AX104" s="76">
        <f>G104*AP104</f>
        <v>0</v>
      </c>
      <c r="AY104" s="77" t="s">
        <v>429</v>
      </c>
      <c r="AZ104" s="77" t="s">
        <v>442</v>
      </c>
      <c r="BA104" s="72" t="s">
        <v>445</v>
      </c>
      <c r="BC104" s="76">
        <f>AW104+AX104</f>
        <v>0</v>
      </c>
      <c r="BD104" s="76">
        <f>H104/(100-BE104)*100</f>
        <v>0</v>
      </c>
      <c r="BE104" s="76">
        <v>0</v>
      </c>
      <c r="BF104" s="76">
        <f>104</f>
        <v>104</v>
      </c>
      <c r="BH104" s="51">
        <f>G104*AO104</f>
        <v>0</v>
      </c>
      <c r="BI104" s="51">
        <f>G104*AP104</f>
        <v>0</v>
      </c>
      <c r="BJ104" s="51">
        <f>G104*H104</f>
        <v>0</v>
      </c>
    </row>
    <row r="105" spans="3:7" ht="12.75">
      <c r="C105" s="32" t="s">
        <v>261</v>
      </c>
      <c r="D105" s="42"/>
      <c r="E105" s="42"/>
      <c r="G105" s="52">
        <v>41</v>
      </c>
    </row>
    <row r="106" spans="1:62" ht="12.75">
      <c r="A106" s="10" t="s">
        <v>40</v>
      </c>
      <c r="B106" s="10" t="s">
        <v>121</v>
      </c>
      <c r="C106" s="10" t="s">
        <v>262</v>
      </c>
      <c r="D106" s="41"/>
      <c r="E106" s="41"/>
      <c r="F106" s="10" t="s">
        <v>385</v>
      </c>
      <c r="G106" s="51">
        <v>357.65</v>
      </c>
      <c r="H106" s="51">
        <v>0</v>
      </c>
      <c r="I106" s="51">
        <f>G106*AO106</f>
        <v>0</v>
      </c>
      <c r="J106" s="51">
        <f>G106*AP106</f>
        <v>0</v>
      </c>
      <c r="K106" s="51">
        <f>G106*H106</f>
        <v>0</v>
      </c>
      <c r="L106" s="71" t="s">
        <v>407</v>
      </c>
      <c r="Z106" s="76">
        <f>IF(AQ106="5",BJ106,0)</f>
        <v>0</v>
      </c>
      <c r="AB106" s="76">
        <f>IF(AQ106="1",BH106,0)</f>
        <v>0</v>
      </c>
      <c r="AC106" s="76">
        <f>IF(AQ106="1",BI106,0)</f>
        <v>0</v>
      </c>
      <c r="AD106" s="76">
        <f>IF(AQ106="7",BH106,0)</f>
        <v>0</v>
      </c>
      <c r="AE106" s="76">
        <f>IF(AQ106="7",BI106,0)</f>
        <v>0</v>
      </c>
      <c r="AF106" s="76">
        <f>IF(AQ106="2",BH106,0)</f>
        <v>0</v>
      </c>
      <c r="AG106" s="76">
        <f>IF(AQ106="2",BI106,0)</f>
        <v>0</v>
      </c>
      <c r="AH106" s="76">
        <f>IF(AQ106="0",BJ106,0)</f>
        <v>0</v>
      </c>
      <c r="AI106" s="72"/>
      <c r="AJ106" s="51">
        <f>IF(AN106=0,K106,0)</f>
        <v>0</v>
      </c>
      <c r="AK106" s="51">
        <f>IF(AN106=15,K106,0)</f>
        <v>0</v>
      </c>
      <c r="AL106" s="51">
        <f>IF(AN106=21,K106,0)</f>
        <v>0</v>
      </c>
      <c r="AN106" s="76">
        <v>21</v>
      </c>
      <c r="AO106" s="76">
        <f>H106*0.866939700626769</f>
        <v>0</v>
      </c>
      <c r="AP106" s="76">
        <f>H106*(1-0.866939700626769)</f>
        <v>0</v>
      </c>
      <c r="AQ106" s="71" t="s">
        <v>7</v>
      </c>
      <c r="AV106" s="76">
        <f>AW106+AX106</f>
        <v>0</v>
      </c>
      <c r="AW106" s="76">
        <f>G106*AO106</f>
        <v>0</v>
      </c>
      <c r="AX106" s="76">
        <f>G106*AP106</f>
        <v>0</v>
      </c>
      <c r="AY106" s="77" t="s">
        <v>429</v>
      </c>
      <c r="AZ106" s="77" t="s">
        <v>442</v>
      </c>
      <c r="BA106" s="72" t="s">
        <v>445</v>
      </c>
      <c r="BC106" s="76">
        <f>AW106+AX106</f>
        <v>0</v>
      </c>
      <c r="BD106" s="76">
        <f>H106/(100-BE106)*100</f>
        <v>0</v>
      </c>
      <c r="BE106" s="76">
        <v>0</v>
      </c>
      <c r="BF106" s="76">
        <f>106</f>
        <v>106</v>
      </c>
      <c r="BH106" s="51">
        <f>G106*AO106</f>
        <v>0</v>
      </c>
      <c r="BI106" s="51">
        <f>G106*AP106</f>
        <v>0</v>
      </c>
      <c r="BJ106" s="51">
        <f>G106*H106</f>
        <v>0</v>
      </c>
    </row>
    <row r="107" spans="3:7" ht="12.75">
      <c r="C107" s="32" t="s">
        <v>263</v>
      </c>
      <c r="D107" s="42"/>
      <c r="E107" s="42"/>
      <c r="G107" s="52">
        <v>309</v>
      </c>
    </row>
    <row r="108" spans="3:7" ht="12.75">
      <c r="C108" s="32" t="s">
        <v>264</v>
      </c>
      <c r="D108" s="42"/>
      <c r="E108" s="42"/>
      <c r="G108" s="52">
        <v>48.65</v>
      </c>
    </row>
    <row r="109" spans="1:62" ht="12.75">
      <c r="A109" s="10" t="s">
        <v>41</v>
      </c>
      <c r="B109" s="10" t="s">
        <v>122</v>
      </c>
      <c r="C109" s="10" t="s">
        <v>265</v>
      </c>
      <c r="D109" s="41"/>
      <c r="E109" s="41"/>
      <c r="F109" s="10" t="s">
        <v>385</v>
      </c>
      <c r="G109" s="51">
        <v>700</v>
      </c>
      <c r="H109" s="51">
        <v>0</v>
      </c>
      <c r="I109" s="51">
        <f>G109*AO109</f>
        <v>0</v>
      </c>
      <c r="J109" s="51">
        <f>G109*AP109</f>
        <v>0</v>
      </c>
      <c r="K109" s="51">
        <f>G109*H109</f>
        <v>0</v>
      </c>
      <c r="L109" s="71" t="s">
        <v>407</v>
      </c>
      <c r="Z109" s="76">
        <f>IF(AQ109="5",BJ109,0)</f>
        <v>0</v>
      </c>
      <c r="AB109" s="76">
        <f>IF(AQ109="1",BH109,0)</f>
        <v>0</v>
      </c>
      <c r="AC109" s="76">
        <f>IF(AQ109="1",BI109,0)</f>
        <v>0</v>
      </c>
      <c r="AD109" s="76">
        <f>IF(AQ109="7",BH109,0)</f>
        <v>0</v>
      </c>
      <c r="AE109" s="76">
        <f>IF(AQ109="7",BI109,0)</f>
        <v>0</v>
      </c>
      <c r="AF109" s="76">
        <f>IF(AQ109="2",BH109,0)</f>
        <v>0</v>
      </c>
      <c r="AG109" s="76">
        <f>IF(AQ109="2",BI109,0)</f>
        <v>0</v>
      </c>
      <c r="AH109" s="76">
        <f>IF(AQ109="0",BJ109,0)</f>
        <v>0</v>
      </c>
      <c r="AI109" s="72"/>
      <c r="AJ109" s="51">
        <f>IF(AN109=0,K109,0)</f>
        <v>0</v>
      </c>
      <c r="AK109" s="51">
        <f>IF(AN109=15,K109,0)</f>
        <v>0</v>
      </c>
      <c r="AL109" s="51">
        <f>IF(AN109=21,K109,0)</f>
        <v>0</v>
      </c>
      <c r="AN109" s="76">
        <v>21</v>
      </c>
      <c r="AO109" s="76">
        <f>H109*0.877478152309613</f>
        <v>0</v>
      </c>
      <c r="AP109" s="76">
        <f>H109*(1-0.877478152309613)</f>
        <v>0</v>
      </c>
      <c r="AQ109" s="71" t="s">
        <v>7</v>
      </c>
      <c r="AV109" s="76">
        <f>AW109+AX109</f>
        <v>0</v>
      </c>
      <c r="AW109" s="76">
        <f>G109*AO109</f>
        <v>0</v>
      </c>
      <c r="AX109" s="76">
        <f>G109*AP109</f>
        <v>0</v>
      </c>
      <c r="AY109" s="77" t="s">
        <v>429</v>
      </c>
      <c r="AZ109" s="77" t="s">
        <v>442</v>
      </c>
      <c r="BA109" s="72" t="s">
        <v>445</v>
      </c>
      <c r="BC109" s="76">
        <f>AW109+AX109</f>
        <v>0</v>
      </c>
      <c r="BD109" s="76">
        <f>H109/(100-BE109)*100</f>
        <v>0</v>
      </c>
      <c r="BE109" s="76">
        <v>0</v>
      </c>
      <c r="BF109" s="76">
        <f>109</f>
        <v>109</v>
      </c>
      <c r="BH109" s="51">
        <f>G109*AO109</f>
        <v>0</v>
      </c>
      <c r="BI109" s="51">
        <f>G109*AP109</f>
        <v>0</v>
      </c>
      <c r="BJ109" s="51">
        <f>G109*H109</f>
        <v>0</v>
      </c>
    </row>
    <row r="110" spans="3:7" ht="12.75">
      <c r="C110" s="32" t="s">
        <v>266</v>
      </c>
      <c r="D110" s="42"/>
      <c r="E110" s="42"/>
      <c r="G110" s="52">
        <v>700</v>
      </c>
    </row>
    <row r="111" spans="1:62" ht="12.75">
      <c r="A111" s="10" t="s">
        <v>42</v>
      </c>
      <c r="B111" s="10" t="s">
        <v>123</v>
      </c>
      <c r="C111" s="10" t="s">
        <v>267</v>
      </c>
      <c r="D111" s="41"/>
      <c r="E111" s="41"/>
      <c r="F111" s="10" t="s">
        <v>385</v>
      </c>
      <c r="G111" s="51">
        <v>365</v>
      </c>
      <c r="H111" s="51">
        <v>0</v>
      </c>
      <c r="I111" s="51">
        <f>G111*AO111</f>
        <v>0</v>
      </c>
      <c r="J111" s="51">
        <f>G111*AP111</f>
        <v>0</v>
      </c>
      <c r="K111" s="51">
        <f>G111*H111</f>
        <v>0</v>
      </c>
      <c r="L111" s="71" t="s">
        <v>407</v>
      </c>
      <c r="Z111" s="76">
        <f>IF(AQ111="5",BJ111,0)</f>
        <v>0</v>
      </c>
      <c r="AB111" s="76">
        <f>IF(AQ111="1",BH111,0)</f>
        <v>0</v>
      </c>
      <c r="AC111" s="76">
        <f>IF(AQ111="1",BI111,0)</f>
        <v>0</v>
      </c>
      <c r="AD111" s="76">
        <f>IF(AQ111="7",BH111,0)</f>
        <v>0</v>
      </c>
      <c r="AE111" s="76">
        <f>IF(AQ111="7",BI111,0)</f>
        <v>0</v>
      </c>
      <c r="AF111" s="76">
        <f>IF(AQ111="2",BH111,0)</f>
        <v>0</v>
      </c>
      <c r="AG111" s="76">
        <f>IF(AQ111="2",BI111,0)</f>
        <v>0</v>
      </c>
      <c r="AH111" s="76">
        <f>IF(AQ111="0",BJ111,0)</f>
        <v>0</v>
      </c>
      <c r="AI111" s="72"/>
      <c r="AJ111" s="51">
        <f>IF(AN111=0,K111,0)</f>
        <v>0</v>
      </c>
      <c r="AK111" s="51">
        <f>IF(AN111=15,K111,0)</f>
        <v>0</v>
      </c>
      <c r="AL111" s="51">
        <f>IF(AN111=21,K111,0)</f>
        <v>0</v>
      </c>
      <c r="AN111" s="76">
        <v>21</v>
      </c>
      <c r="AO111" s="76">
        <f>H111*0.880922063666301</f>
        <v>0</v>
      </c>
      <c r="AP111" s="76">
        <f>H111*(1-0.880922063666301)</f>
        <v>0</v>
      </c>
      <c r="AQ111" s="71" t="s">
        <v>7</v>
      </c>
      <c r="AV111" s="76">
        <f>AW111+AX111</f>
        <v>0</v>
      </c>
      <c r="AW111" s="76">
        <f>G111*AO111</f>
        <v>0</v>
      </c>
      <c r="AX111" s="76">
        <f>G111*AP111</f>
        <v>0</v>
      </c>
      <c r="AY111" s="77" t="s">
        <v>429</v>
      </c>
      <c r="AZ111" s="77" t="s">
        <v>442</v>
      </c>
      <c r="BA111" s="72" t="s">
        <v>445</v>
      </c>
      <c r="BC111" s="76">
        <f>AW111+AX111</f>
        <v>0</v>
      </c>
      <c r="BD111" s="76">
        <f>H111/(100-BE111)*100</f>
        <v>0</v>
      </c>
      <c r="BE111" s="76">
        <v>0</v>
      </c>
      <c r="BF111" s="76">
        <f>111</f>
        <v>111</v>
      </c>
      <c r="BH111" s="51">
        <f>G111*AO111</f>
        <v>0</v>
      </c>
      <c r="BI111" s="51">
        <f>G111*AP111</f>
        <v>0</v>
      </c>
      <c r="BJ111" s="51">
        <f>G111*H111</f>
        <v>0</v>
      </c>
    </row>
    <row r="112" spans="3:7" ht="12.75">
      <c r="C112" s="32" t="s">
        <v>268</v>
      </c>
      <c r="D112" s="42"/>
      <c r="E112" s="42"/>
      <c r="G112" s="52">
        <v>309</v>
      </c>
    </row>
    <row r="113" spans="3:7" ht="12.75">
      <c r="C113" s="32" t="s">
        <v>269</v>
      </c>
      <c r="D113" s="42"/>
      <c r="E113" s="42"/>
      <c r="G113" s="52">
        <v>56</v>
      </c>
    </row>
    <row r="114" spans="1:62" ht="12.75">
      <c r="A114" s="10" t="s">
        <v>43</v>
      </c>
      <c r="B114" s="10" t="s">
        <v>124</v>
      </c>
      <c r="C114" s="10" t="s">
        <v>270</v>
      </c>
      <c r="D114" s="41"/>
      <c r="E114" s="41"/>
      <c r="F114" s="10" t="s">
        <v>385</v>
      </c>
      <c r="G114" s="51">
        <v>309</v>
      </c>
      <c r="H114" s="51">
        <v>0</v>
      </c>
      <c r="I114" s="51">
        <f>G114*AO114</f>
        <v>0</v>
      </c>
      <c r="J114" s="51">
        <f>G114*AP114</f>
        <v>0</v>
      </c>
      <c r="K114" s="51">
        <f>G114*H114</f>
        <v>0</v>
      </c>
      <c r="L114" s="71" t="s">
        <v>407</v>
      </c>
      <c r="Z114" s="76">
        <f>IF(AQ114="5",BJ114,0)</f>
        <v>0</v>
      </c>
      <c r="AB114" s="76">
        <f>IF(AQ114="1",BH114,0)</f>
        <v>0</v>
      </c>
      <c r="AC114" s="76">
        <f>IF(AQ114="1",BI114,0)</f>
        <v>0</v>
      </c>
      <c r="AD114" s="76">
        <f>IF(AQ114="7",BH114,0)</f>
        <v>0</v>
      </c>
      <c r="AE114" s="76">
        <f>IF(AQ114="7",BI114,0)</f>
        <v>0</v>
      </c>
      <c r="AF114" s="76">
        <f>IF(AQ114="2",BH114,0)</f>
        <v>0</v>
      </c>
      <c r="AG114" s="76">
        <f>IF(AQ114="2",BI114,0)</f>
        <v>0</v>
      </c>
      <c r="AH114" s="76">
        <f>IF(AQ114="0",BJ114,0)</f>
        <v>0</v>
      </c>
      <c r="AI114" s="72"/>
      <c r="AJ114" s="51">
        <f>IF(AN114=0,K114,0)</f>
        <v>0</v>
      </c>
      <c r="AK114" s="51">
        <f>IF(AN114=15,K114,0)</f>
        <v>0</v>
      </c>
      <c r="AL114" s="51">
        <f>IF(AN114=21,K114,0)</f>
        <v>0</v>
      </c>
      <c r="AN114" s="76">
        <v>21</v>
      </c>
      <c r="AO114" s="76">
        <f>H114*0.87272030651341</f>
        <v>0</v>
      </c>
      <c r="AP114" s="76">
        <f>H114*(1-0.87272030651341)</f>
        <v>0</v>
      </c>
      <c r="AQ114" s="71" t="s">
        <v>7</v>
      </c>
      <c r="AV114" s="76">
        <f>AW114+AX114</f>
        <v>0</v>
      </c>
      <c r="AW114" s="76">
        <f>G114*AO114</f>
        <v>0</v>
      </c>
      <c r="AX114" s="76">
        <f>G114*AP114</f>
        <v>0</v>
      </c>
      <c r="AY114" s="77" t="s">
        <v>429</v>
      </c>
      <c r="AZ114" s="77" t="s">
        <v>442</v>
      </c>
      <c r="BA114" s="72" t="s">
        <v>445</v>
      </c>
      <c r="BC114" s="76">
        <f>AW114+AX114</f>
        <v>0</v>
      </c>
      <c r="BD114" s="76">
        <f>H114/(100-BE114)*100</f>
        <v>0</v>
      </c>
      <c r="BE114" s="76">
        <v>0</v>
      </c>
      <c r="BF114" s="76">
        <f>114</f>
        <v>114</v>
      </c>
      <c r="BH114" s="51">
        <f>G114*AO114</f>
        <v>0</v>
      </c>
      <c r="BI114" s="51">
        <f>G114*AP114</f>
        <v>0</v>
      </c>
      <c r="BJ114" s="51">
        <f>G114*H114</f>
        <v>0</v>
      </c>
    </row>
    <row r="115" spans="1:47" ht="12.75">
      <c r="A115" s="11"/>
      <c r="B115" s="25" t="s">
        <v>63</v>
      </c>
      <c r="C115" s="25" t="s">
        <v>271</v>
      </c>
      <c r="D115" s="44"/>
      <c r="E115" s="44"/>
      <c r="F115" s="11" t="s">
        <v>6</v>
      </c>
      <c r="G115" s="11" t="s">
        <v>6</v>
      </c>
      <c r="H115" s="11" t="s">
        <v>6</v>
      </c>
      <c r="I115" s="79">
        <f>SUM(I116:I118)</f>
        <v>0</v>
      </c>
      <c r="J115" s="79">
        <f>SUM(J116:J118)</f>
        <v>0</v>
      </c>
      <c r="K115" s="79">
        <f>SUM(K116:K118)</f>
        <v>0</v>
      </c>
      <c r="L115" s="72"/>
      <c r="AI115" s="72"/>
      <c r="AS115" s="79">
        <f>SUM(AJ116:AJ118)</f>
        <v>0</v>
      </c>
      <c r="AT115" s="79">
        <f>SUM(AK116:AK118)</f>
        <v>0</v>
      </c>
      <c r="AU115" s="79">
        <f>SUM(AL116:AL118)</f>
        <v>0</v>
      </c>
    </row>
    <row r="116" spans="1:62" ht="12.75">
      <c r="A116" s="10" t="s">
        <v>44</v>
      </c>
      <c r="B116" s="10" t="s">
        <v>125</v>
      </c>
      <c r="C116" s="10" t="s">
        <v>272</v>
      </c>
      <c r="D116" s="41"/>
      <c r="E116" s="41"/>
      <c r="F116" s="10" t="s">
        <v>385</v>
      </c>
      <c r="G116" s="51">
        <v>1915.3</v>
      </c>
      <c r="H116" s="51">
        <v>0</v>
      </c>
      <c r="I116" s="51">
        <f>G116*AO116</f>
        <v>0</v>
      </c>
      <c r="J116" s="51">
        <f>G116*AP116</f>
        <v>0</v>
      </c>
      <c r="K116" s="51">
        <f>G116*H116</f>
        <v>0</v>
      </c>
      <c r="L116" s="71" t="s">
        <v>407</v>
      </c>
      <c r="Z116" s="76">
        <f>IF(AQ116="5",BJ116,0)</f>
        <v>0</v>
      </c>
      <c r="AB116" s="76">
        <f>IF(AQ116="1",BH116,0)</f>
        <v>0</v>
      </c>
      <c r="AC116" s="76">
        <f>IF(AQ116="1",BI116,0)</f>
        <v>0</v>
      </c>
      <c r="AD116" s="76">
        <f>IF(AQ116="7",BH116,0)</f>
        <v>0</v>
      </c>
      <c r="AE116" s="76">
        <f>IF(AQ116="7",BI116,0)</f>
        <v>0</v>
      </c>
      <c r="AF116" s="76">
        <f>IF(AQ116="2",BH116,0)</f>
        <v>0</v>
      </c>
      <c r="AG116" s="76">
        <f>IF(AQ116="2",BI116,0)</f>
        <v>0</v>
      </c>
      <c r="AH116" s="76">
        <f>IF(AQ116="0",BJ116,0)</f>
        <v>0</v>
      </c>
      <c r="AI116" s="72"/>
      <c r="AJ116" s="51">
        <f>IF(AN116=0,K116,0)</f>
        <v>0</v>
      </c>
      <c r="AK116" s="51">
        <f>IF(AN116=15,K116,0)</f>
        <v>0</v>
      </c>
      <c r="AL116" s="51">
        <f>IF(AN116=21,K116,0)</f>
        <v>0</v>
      </c>
      <c r="AN116" s="76">
        <v>21</v>
      </c>
      <c r="AO116" s="76">
        <f>H116*0.929157453793524</f>
        <v>0</v>
      </c>
      <c r="AP116" s="76">
        <f>H116*(1-0.929157453793524)</f>
        <v>0</v>
      </c>
      <c r="AQ116" s="71" t="s">
        <v>7</v>
      </c>
      <c r="AV116" s="76">
        <f>AW116+AX116</f>
        <v>0</v>
      </c>
      <c r="AW116" s="76">
        <f>G116*AO116</f>
        <v>0</v>
      </c>
      <c r="AX116" s="76">
        <f>G116*AP116</f>
        <v>0</v>
      </c>
      <c r="AY116" s="77" t="s">
        <v>430</v>
      </c>
      <c r="AZ116" s="77" t="s">
        <v>442</v>
      </c>
      <c r="BA116" s="72" t="s">
        <v>445</v>
      </c>
      <c r="BC116" s="76">
        <f>AW116+AX116</f>
        <v>0</v>
      </c>
      <c r="BD116" s="76">
        <f>H116/(100-BE116)*100</f>
        <v>0</v>
      </c>
      <c r="BE116" s="76">
        <v>0</v>
      </c>
      <c r="BF116" s="76">
        <f>116</f>
        <v>116</v>
      </c>
      <c r="BH116" s="51">
        <f>G116*AO116</f>
        <v>0</v>
      </c>
      <c r="BI116" s="51">
        <f>G116*AP116</f>
        <v>0</v>
      </c>
      <c r="BJ116" s="51">
        <f>G116*H116</f>
        <v>0</v>
      </c>
    </row>
    <row r="117" spans="3:7" ht="12.75">
      <c r="C117" s="32" t="s">
        <v>273</v>
      </c>
      <c r="D117" s="42"/>
      <c r="E117" s="42"/>
      <c r="G117" s="52">
        <v>1915.3</v>
      </c>
    </row>
    <row r="118" spans="1:62" ht="12.75">
      <c r="A118" s="10" t="s">
        <v>45</v>
      </c>
      <c r="B118" s="10" t="s">
        <v>126</v>
      </c>
      <c r="C118" s="10" t="s">
        <v>274</v>
      </c>
      <c r="D118" s="41"/>
      <c r="E118" s="41"/>
      <c r="F118" s="10" t="s">
        <v>385</v>
      </c>
      <c r="G118" s="51">
        <v>1032.65</v>
      </c>
      <c r="H118" s="51">
        <v>0</v>
      </c>
      <c r="I118" s="51">
        <f>G118*AO118</f>
        <v>0</v>
      </c>
      <c r="J118" s="51">
        <f>G118*AP118</f>
        <v>0</v>
      </c>
      <c r="K118" s="51">
        <f>G118*H118</f>
        <v>0</v>
      </c>
      <c r="L118" s="71" t="s">
        <v>407</v>
      </c>
      <c r="Z118" s="76">
        <f>IF(AQ118="5",BJ118,0)</f>
        <v>0</v>
      </c>
      <c r="AB118" s="76">
        <f>IF(AQ118="1",BH118,0)</f>
        <v>0</v>
      </c>
      <c r="AC118" s="76">
        <f>IF(AQ118="1",BI118,0)</f>
        <v>0</v>
      </c>
      <c r="AD118" s="76">
        <f>IF(AQ118="7",BH118,0)</f>
        <v>0</v>
      </c>
      <c r="AE118" s="76">
        <f>IF(AQ118="7",BI118,0)</f>
        <v>0</v>
      </c>
      <c r="AF118" s="76">
        <f>IF(AQ118="2",BH118,0)</f>
        <v>0</v>
      </c>
      <c r="AG118" s="76">
        <f>IF(AQ118="2",BI118,0)</f>
        <v>0</v>
      </c>
      <c r="AH118" s="76">
        <f>IF(AQ118="0",BJ118,0)</f>
        <v>0</v>
      </c>
      <c r="AI118" s="72"/>
      <c r="AJ118" s="51">
        <f>IF(AN118=0,K118,0)</f>
        <v>0</v>
      </c>
      <c r="AK118" s="51">
        <f>IF(AN118=15,K118,0)</f>
        <v>0</v>
      </c>
      <c r="AL118" s="51">
        <f>IF(AN118=21,K118,0)</f>
        <v>0</v>
      </c>
      <c r="AN118" s="76">
        <v>21</v>
      </c>
      <c r="AO118" s="76">
        <f>H118*0.915494313021904</f>
        <v>0</v>
      </c>
      <c r="AP118" s="76">
        <f>H118*(1-0.915494313021904)</f>
        <v>0</v>
      </c>
      <c r="AQ118" s="71" t="s">
        <v>7</v>
      </c>
      <c r="AV118" s="76">
        <f>AW118+AX118</f>
        <v>0</v>
      </c>
      <c r="AW118" s="76">
        <f>G118*AO118</f>
        <v>0</v>
      </c>
      <c r="AX118" s="76">
        <f>G118*AP118</f>
        <v>0</v>
      </c>
      <c r="AY118" s="77" t="s">
        <v>430</v>
      </c>
      <c r="AZ118" s="77" t="s">
        <v>442</v>
      </c>
      <c r="BA118" s="72" t="s">
        <v>445</v>
      </c>
      <c r="BC118" s="76">
        <f>AW118+AX118</f>
        <v>0</v>
      </c>
      <c r="BD118" s="76">
        <f>H118/(100-BE118)*100</f>
        <v>0</v>
      </c>
      <c r="BE118" s="76">
        <v>0</v>
      </c>
      <c r="BF118" s="76">
        <f>118</f>
        <v>118</v>
      </c>
      <c r="BH118" s="51">
        <f>G118*AO118</f>
        <v>0</v>
      </c>
      <c r="BI118" s="51">
        <f>G118*AP118</f>
        <v>0</v>
      </c>
      <c r="BJ118" s="51">
        <f>G118*H118</f>
        <v>0</v>
      </c>
    </row>
    <row r="119" spans="3:7" ht="12.75">
      <c r="C119" s="32" t="s">
        <v>275</v>
      </c>
      <c r="D119" s="42"/>
      <c r="E119" s="42"/>
      <c r="G119" s="52">
        <v>1020</v>
      </c>
    </row>
    <row r="120" spans="3:7" ht="12.75">
      <c r="C120" s="32" t="s">
        <v>276</v>
      </c>
      <c r="D120" s="42"/>
      <c r="E120" s="42"/>
      <c r="G120" s="52">
        <v>12.65</v>
      </c>
    </row>
    <row r="121" spans="1:47" ht="12.75">
      <c r="A121" s="11"/>
      <c r="B121" s="25" t="s">
        <v>65</v>
      </c>
      <c r="C121" s="25" t="s">
        <v>277</v>
      </c>
      <c r="D121" s="44"/>
      <c r="E121" s="44"/>
      <c r="F121" s="11" t="s">
        <v>6</v>
      </c>
      <c r="G121" s="11" t="s">
        <v>6</v>
      </c>
      <c r="H121" s="11" t="s">
        <v>6</v>
      </c>
      <c r="I121" s="79">
        <f>SUM(I122:I129)</f>
        <v>0</v>
      </c>
      <c r="J121" s="79">
        <f>SUM(J122:J129)</f>
        <v>0</v>
      </c>
      <c r="K121" s="79">
        <f>SUM(K122:K129)</f>
        <v>0</v>
      </c>
      <c r="L121" s="72"/>
      <c r="AI121" s="72"/>
      <c r="AS121" s="79">
        <f>SUM(AJ122:AJ129)</f>
        <v>0</v>
      </c>
      <c r="AT121" s="79">
        <f>SUM(AK122:AK129)</f>
        <v>0</v>
      </c>
      <c r="AU121" s="79">
        <f>SUM(AL122:AL129)</f>
        <v>0</v>
      </c>
    </row>
    <row r="122" spans="1:62" ht="12.75">
      <c r="A122" s="10" t="s">
        <v>46</v>
      </c>
      <c r="B122" s="10" t="s">
        <v>127</v>
      </c>
      <c r="C122" s="10" t="s">
        <v>278</v>
      </c>
      <c r="D122" s="41"/>
      <c r="E122" s="41"/>
      <c r="F122" s="10" t="s">
        <v>385</v>
      </c>
      <c r="G122" s="51">
        <v>41</v>
      </c>
      <c r="H122" s="51">
        <v>0</v>
      </c>
      <c r="I122" s="51">
        <f>G122*AO122</f>
        <v>0</v>
      </c>
      <c r="J122" s="51">
        <f>G122*AP122</f>
        <v>0</v>
      </c>
      <c r="K122" s="51">
        <f>G122*H122</f>
        <v>0</v>
      </c>
      <c r="L122" s="71" t="s">
        <v>407</v>
      </c>
      <c r="Z122" s="76">
        <f>IF(AQ122="5",BJ122,0)</f>
        <v>0</v>
      </c>
      <c r="AB122" s="76">
        <f>IF(AQ122="1",BH122,0)</f>
        <v>0</v>
      </c>
      <c r="AC122" s="76">
        <f>IF(AQ122="1",BI122,0)</f>
        <v>0</v>
      </c>
      <c r="AD122" s="76">
        <f>IF(AQ122="7",BH122,0)</f>
        <v>0</v>
      </c>
      <c r="AE122" s="76">
        <f>IF(AQ122="7",BI122,0)</f>
        <v>0</v>
      </c>
      <c r="AF122" s="76">
        <f>IF(AQ122="2",BH122,0)</f>
        <v>0</v>
      </c>
      <c r="AG122" s="76">
        <f>IF(AQ122="2",BI122,0)</f>
        <v>0</v>
      </c>
      <c r="AH122" s="76">
        <f>IF(AQ122="0",BJ122,0)</f>
        <v>0</v>
      </c>
      <c r="AI122" s="72"/>
      <c r="AJ122" s="51">
        <f>IF(AN122=0,K122,0)</f>
        <v>0</v>
      </c>
      <c r="AK122" s="51">
        <f>IF(AN122=15,K122,0)</f>
        <v>0</v>
      </c>
      <c r="AL122" s="51">
        <f>IF(AN122=21,K122,0)</f>
        <v>0</v>
      </c>
      <c r="AN122" s="76">
        <v>21</v>
      </c>
      <c r="AO122" s="76">
        <f>H122*0.170561797752809</f>
        <v>0</v>
      </c>
      <c r="AP122" s="76">
        <f>H122*(1-0.170561797752809)</f>
        <v>0</v>
      </c>
      <c r="AQ122" s="71" t="s">
        <v>7</v>
      </c>
      <c r="AV122" s="76">
        <f>AW122+AX122</f>
        <v>0</v>
      </c>
      <c r="AW122" s="76">
        <f>G122*AO122</f>
        <v>0</v>
      </c>
      <c r="AX122" s="76">
        <f>G122*AP122</f>
        <v>0</v>
      </c>
      <c r="AY122" s="77" t="s">
        <v>431</v>
      </c>
      <c r="AZ122" s="77" t="s">
        <v>442</v>
      </c>
      <c r="BA122" s="72" t="s">
        <v>445</v>
      </c>
      <c r="BC122" s="76">
        <f>AW122+AX122</f>
        <v>0</v>
      </c>
      <c r="BD122" s="76">
        <f>H122/(100-BE122)*100</f>
        <v>0</v>
      </c>
      <c r="BE122" s="76">
        <v>0</v>
      </c>
      <c r="BF122" s="76">
        <f>122</f>
        <v>122</v>
      </c>
      <c r="BH122" s="51">
        <f>G122*AO122</f>
        <v>0</v>
      </c>
      <c r="BI122" s="51">
        <f>G122*AP122</f>
        <v>0</v>
      </c>
      <c r="BJ122" s="51">
        <f>G122*H122</f>
        <v>0</v>
      </c>
    </row>
    <row r="123" spans="3:7" ht="12.75">
      <c r="C123" s="32" t="s">
        <v>279</v>
      </c>
      <c r="D123" s="42"/>
      <c r="E123" s="42"/>
      <c r="G123" s="52">
        <v>41</v>
      </c>
    </row>
    <row r="124" spans="2:12" ht="25.5" customHeight="1">
      <c r="B124" s="24" t="s">
        <v>88</v>
      </c>
      <c r="C124" s="33" t="s">
        <v>280</v>
      </c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62" ht="12.75">
      <c r="A125" s="12" t="s">
        <v>47</v>
      </c>
      <c r="B125" s="12" t="s">
        <v>128</v>
      </c>
      <c r="C125" s="12" t="s">
        <v>281</v>
      </c>
      <c r="D125" s="45"/>
      <c r="E125" s="45"/>
      <c r="F125" s="12" t="s">
        <v>385</v>
      </c>
      <c r="G125" s="53">
        <v>35.249</v>
      </c>
      <c r="H125" s="53">
        <v>0</v>
      </c>
      <c r="I125" s="53">
        <f>G125*AO125</f>
        <v>0</v>
      </c>
      <c r="J125" s="53">
        <f>G125*AP125</f>
        <v>0</v>
      </c>
      <c r="K125" s="53">
        <f>G125*H125</f>
        <v>0</v>
      </c>
      <c r="L125" s="73" t="s">
        <v>407</v>
      </c>
      <c r="Z125" s="76">
        <f>IF(AQ125="5",BJ125,0)</f>
        <v>0</v>
      </c>
      <c r="AB125" s="76">
        <f>IF(AQ125="1",BH125,0)</f>
        <v>0</v>
      </c>
      <c r="AC125" s="76">
        <f>IF(AQ125="1",BI125,0)</f>
        <v>0</v>
      </c>
      <c r="AD125" s="76">
        <f>IF(AQ125="7",BH125,0)</f>
        <v>0</v>
      </c>
      <c r="AE125" s="76">
        <f>IF(AQ125="7",BI125,0)</f>
        <v>0</v>
      </c>
      <c r="AF125" s="76">
        <f>IF(AQ125="2",BH125,0)</f>
        <v>0</v>
      </c>
      <c r="AG125" s="76">
        <f>IF(AQ125="2",BI125,0)</f>
        <v>0</v>
      </c>
      <c r="AH125" s="76">
        <f>IF(AQ125="0",BJ125,0)</f>
        <v>0</v>
      </c>
      <c r="AI125" s="72"/>
      <c r="AJ125" s="53">
        <f>IF(AN125=0,K125,0)</f>
        <v>0</v>
      </c>
      <c r="AK125" s="53">
        <f>IF(AN125=15,K125,0)</f>
        <v>0</v>
      </c>
      <c r="AL125" s="53">
        <f>IF(AN125=21,K125,0)</f>
        <v>0</v>
      </c>
      <c r="AN125" s="76">
        <v>21</v>
      </c>
      <c r="AO125" s="76">
        <f>H125*1</f>
        <v>0</v>
      </c>
      <c r="AP125" s="76">
        <f>H125*(1-1)</f>
        <v>0</v>
      </c>
      <c r="AQ125" s="73" t="s">
        <v>7</v>
      </c>
      <c r="AV125" s="76">
        <f>AW125+AX125</f>
        <v>0</v>
      </c>
      <c r="AW125" s="76">
        <f>G125*AO125</f>
        <v>0</v>
      </c>
      <c r="AX125" s="76">
        <f>G125*AP125</f>
        <v>0</v>
      </c>
      <c r="AY125" s="77" t="s">
        <v>431</v>
      </c>
      <c r="AZ125" s="77" t="s">
        <v>442</v>
      </c>
      <c r="BA125" s="72" t="s">
        <v>445</v>
      </c>
      <c r="BC125" s="76">
        <f>AW125+AX125</f>
        <v>0</v>
      </c>
      <c r="BD125" s="76">
        <f>H125/(100-BE125)*100</f>
        <v>0</v>
      </c>
      <c r="BE125" s="76">
        <v>0</v>
      </c>
      <c r="BF125" s="76">
        <f>125</f>
        <v>125</v>
      </c>
      <c r="BH125" s="53">
        <f>G125*AO125</f>
        <v>0</v>
      </c>
      <c r="BI125" s="53">
        <f>G125*AP125</f>
        <v>0</v>
      </c>
      <c r="BJ125" s="53">
        <f>G125*H125</f>
        <v>0</v>
      </c>
    </row>
    <row r="126" spans="3:7" ht="12.75">
      <c r="C126" s="32" t="s">
        <v>282</v>
      </c>
      <c r="D126" s="42"/>
      <c r="E126" s="42"/>
      <c r="G126" s="52">
        <v>34.9</v>
      </c>
    </row>
    <row r="127" spans="3:7" ht="12.75">
      <c r="C127" s="32" t="s">
        <v>283</v>
      </c>
      <c r="D127" s="42"/>
      <c r="E127" s="42"/>
      <c r="G127" s="52">
        <v>0.349</v>
      </c>
    </row>
    <row r="128" spans="2:12" ht="12.75">
      <c r="B128" s="24" t="s">
        <v>88</v>
      </c>
      <c r="C128" s="33" t="s">
        <v>284</v>
      </c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62" ht="12.75">
      <c r="A129" s="12" t="s">
        <v>48</v>
      </c>
      <c r="B129" s="12" t="s">
        <v>129</v>
      </c>
      <c r="C129" s="12" t="s">
        <v>285</v>
      </c>
      <c r="D129" s="45"/>
      <c r="E129" s="45"/>
      <c r="F129" s="12" t="s">
        <v>385</v>
      </c>
      <c r="G129" s="53">
        <v>6.161</v>
      </c>
      <c r="H129" s="53">
        <v>0</v>
      </c>
      <c r="I129" s="53">
        <f>G129*AO129</f>
        <v>0</v>
      </c>
      <c r="J129" s="53">
        <f>G129*AP129</f>
        <v>0</v>
      </c>
      <c r="K129" s="53">
        <f>G129*H129</f>
        <v>0</v>
      </c>
      <c r="L129" s="73" t="s">
        <v>407</v>
      </c>
      <c r="Z129" s="76">
        <f>IF(AQ129="5",BJ129,0)</f>
        <v>0</v>
      </c>
      <c r="AB129" s="76">
        <f>IF(AQ129="1",BH129,0)</f>
        <v>0</v>
      </c>
      <c r="AC129" s="76">
        <f>IF(AQ129="1",BI129,0)</f>
        <v>0</v>
      </c>
      <c r="AD129" s="76">
        <f>IF(AQ129="7",BH129,0)</f>
        <v>0</v>
      </c>
      <c r="AE129" s="76">
        <f>IF(AQ129="7",BI129,0)</f>
        <v>0</v>
      </c>
      <c r="AF129" s="76">
        <f>IF(AQ129="2",BH129,0)</f>
        <v>0</v>
      </c>
      <c r="AG129" s="76">
        <f>IF(AQ129="2",BI129,0)</f>
        <v>0</v>
      </c>
      <c r="AH129" s="76">
        <f>IF(AQ129="0",BJ129,0)</f>
        <v>0</v>
      </c>
      <c r="AI129" s="72"/>
      <c r="AJ129" s="53">
        <f>IF(AN129=0,K129,0)</f>
        <v>0</v>
      </c>
      <c r="AK129" s="53">
        <f>IF(AN129=15,K129,0)</f>
        <v>0</v>
      </c>
      <c r="AL129" s="53">
        <f>IF(AN129=21,K129,0)</f>
        <v>0</v>
      </c>
      <c r="AN129" s="76">
        <v>21</v>
      </c>
      <c r="AO129" s="76">
        <f>H129*1</f>
        <v>0</v>
      </c>
      <c r="AP129" s="76">
        <f>H129*(1-1)</f>
        <v>0</v>
      </c>
      <c r="AQ129" s="73" t="s">
        <v>7</v>
      </c>
      <c r="AV129" s="76">
        <f>AW129+AX129</f>
        <v>0</v>
      </c>
      <c r="AW129" s="76">
        <f>G129*AO129</f>
        <v>0</v>
      </c>
      <c r="AX129" s="76">
        <f>G129*AP129</f>
        <v>0</v>
      </c>
      <c r="AY129" s="77" t="s">
        <v>431</v>
      </c>
      <c r="AZ129" s="77" t="s">
        <v>442</v>
      </c>
      <c r="BA129" s="72" t="s">
        <v>445</v>
      </c>
      <c r="BC129" s="76">
        <f>AW129+AX129</f>
        <v>0</v>
      </c>
      <c r="BD129" s="76">
        <f>H129/(100-BE129)*100</f>
        <v>0</v>
      </c>
      <c r="BE129" s="76">
        <v>0</v>
      </c>
      <c r="BF129" s="76">
        <f>129</f>
        <v>129</v>
      </c>
      <c r="BH129" s="53">
        <f>G129*AO129</f>
        <v>0</v>
      </c>
      <c r="BI129" s="53">
        <f>G129*AP129</f>
        <v>0</v>
      </c>
      <c r="BJ129" s="53">
        <f>G129*H129</f>
        <v>0</v>
      </c>
    </row>
    <row r="130" spans="3:7" ht="12.75">
      <c r="C130" s="32" t="s">
        <v>286</v>
      </c>
      <c r="D130" s="42"/>
      <c r="E130" s="42"/>
      <c r="G130" s="52">
        <v>6.1</v>
      </c>
    </row>
    <row r="131" spans="3:7" ht="12.75">
      <c r="C131" s="32" t="s">
        <v>287</v>
      </c>
      <c r="D131" s="42"/>
      <c r="E131" s="42"/>
      <c r="G131" s="52">
        <v>0.061</v>
      </c>
    </row>
    <row r="132" spans="2:12" ht="38.25" customHeight="1">
      <c r="B132" s="24" t="s">
        <v>88</v>
      </c>
      <c r="C132" s="33" t="s">
        <v>288</v>
      </c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47" ht="12.75">
      <c r="A133" s="11"/>
      <c r="B133" s="25" t="s">
        <v>14</v>
      </c>
      <c r="C133" s="25" t="s">
        <v>289</v>
      </c>
      <c r="D133" s="44"/>
      <c r="E133" s="44"/>
      <c r="F133" s="11" t="s">
        <v>6</v>
      </c>
      <c r="G133" s="11" t="s">
        <v>6</v>
      </c>
      <c r="H133" s="11" t="s">
        <v>6</v>
      </c>
      <c r="I133" s="79">
        <f>SUM(I134:I134)</f>
        <v>0</v>
      </c>
      <c r="J133" s="79">
        <f>SUM(J134:J134)</f>
        <v>0</v>
      </c>
      <c r="K133" s="79">
        <f>SUM(K134:K134)</f>
        <v>0</v>
      </c>
      <c r="L133" s="72"/>
      <c r="AI133" s="72"/>
      <c r="AS133" s="79">
        <f>SUM(AJ134:AJ134)</f>
        <v>0</v>
      </c>
      <c r="AT133" s="79">
        <f>SUM(AK134:AK134)</f>
        <v>0</v>
      </c>
      <c r="AU133" s="79">
        <f>SUM(AL134:AL134)</f>
        <v>0</v>
      </c>
    </row>
    <row r="134" spans="1:62" ht="12.75">
      <c r="A134" s="10" t="s">
        <v>49</v>
      </c>
      <c r="B134" s="10" t="s">
        <v>130</v>
      </c>
      <c r="C134" s="10" t="s">
        <v>290</v>
      </c>
      <c r="D134" s="41"/>
      <c r="E134" s="41"/>
      <c r="F134" s="10" t="s">
        <v>388</v>
      </c>
      <c r="G134" s="51">
        <v>4</v>
      </c>
      <c r="H134" s="51">
        <v>0</v>
      </c>
      <c r="I134" s="51">
        <f>G134*AO134</f>
        <v>0</v>
      </c>
      <c r="J134" s="51">
        <f>G134*AP134</f>
        <v>0</v>
      </c>
      <c r="K134" s="51">
        <f>G134*H134</f>
        <v>0</v>
      </c>
      <c r="L134" s="71"/>
      <c r="Z134" s="76">
        <f>IF(AQ134="5",BJ134,0)</f>
        <v>0</v>
      </c>
      <c r="AB134" s="76">
        <f>IF(AQ134="1",BH134,0)</f>
        <v>0</v>
      </c>
      <c r="AC134" s="76">
        <f>IF(AQ134="1",BI134,0)</f>
        <v>0</v>
      </c>
      <c r="AD134" s="76">
        <f>IF(AQ134="7",BH134,0)</f>
        <v>0</v>
      </c>
      <c r="AE134" s="76">
        <f>IF(AQ134="7",BI134,0)</f>
        <v>0</v>
      </c>
      <c r="AF134" s="76">
        <f>IF(AQ134="2",BH134,0)</f>
        <v>0</v>
      </c>
      <c r="AG134" s="76">
        <f>IF(AQ134="2",BI134,0)</f>
        <v>0</v>
      </c>
      <c r="AH134" s="76">
        <f>IF(AQ134="0",BJ134,0)</f>
        <v>0</v>
      </c>
      <c r="AI134" s="72"/>
      <c r="AJ134" s="51">
        <f>IF(AN134=0,K134,0)</f>
        <v>0</v>
      </c>
      <c r="AK134" s="51">
        <f>IF(AN134=15,K134,0)</f>
        <v>0</v>
      </c>
      <c r="AL134" s="51">
        <f>IF(AN134=21,K134,0)</f>
        <v>0</v>
      </c>
      <c r="AN134" s="76">
        <v>21</v>
      </c>
      <c r="AO134" s="76">
        <f>H134*1</f>
        <v>0</v>
      </c>
      <c r="AP134" s="76">
        <f>H134*(1-1)</f>
        <v>0</v>
      </c>
      <c r="AQ134" s="71" t="s">
        <v>7</v>
      </c>
      <c r="AV134" s="76">
        <f>AW134+AX134</f>
        <v>0</v>
      </c>
      <c r="AW134" s="76">
        <f>G134*AO134</f>
        <v>0</v>
      </c>
      <c r="AX134" s="76">
        <f>G134*AP134</f>
        <v>0</v>
      </c>
      <c r="AY134" s="77" t="s">
        <v>432</v>
      </c>
      <c r="AZ134" s="77" t="s">
        <v>432</v>
      </c>
      <c r="BA134" s="72" t="s">
        <v>445</v>
      </c>
      <c r="BC134" s="76">
        <f>AW134+AX134</f>
        <v>0</v>
      </c>
      <c r="BD134" s="76">
        <f>H134/(100-BE134)*100</f>
        <v>0</v>
      </c>
      <c r="BE134" s="76">
        <v>0</v>
      </c>
      <c r="BF134" s="76">
        <f>134</f>
        <v>134</v>
      </c>
      <c r="BH134" s="51">
        <f>G134*AO134</f>
        <v>0</v>
      </c>
      <c r="BI134" s="51">
        <f>G134*AP134</f>
        <v>0</v>
      </c>
      <c r="BJ134" s="51">
        <f>G134*H134</f>
        <v>0</v>
      </c>
    </row>
    <row r="135" spans="1:47" ht="12.75">
      <c r="A135" s="11"/>
      <c r="B135" s="25" t="s">
        <v>131</v>
      </c>
      <c r="C135" s="25" t="s">
        <v>291</v>
      </c>
      <c r="D135" s="44"/>
      <c r="E135" s="44"/>
      <c r="F135" s="11" t="s">
        <v>6</v>
      </c>
      <c r="G135" s="11" t="s">
        <v>6</v>
      </c>
      <c r="H135" s="11" t="s">
        <v>6</v>
      </c>
      <c r="I135" s="79">
        <f>SUM(I136:I144)</f>
        <v>0</v>
      </c>
      <c r="J135" s="79">
        <f>SUM(J136:J144)</f>
        <v>0</v>
      </c>
      <c r="K135" s="79">
        <f>SUM(K136:K144)</f>
        <v>0</v>
      </c>
      <c r="L135" s="72"/>
      <c r="AI135" s="72"/>
      <c r="AS135" s="79">
        <f>SUM(AJ136:AJ144)</f>
        <v>0</v>
      </c>
      <c r="AT135" s="79">
        <f>SUM(AK136:AK144)</f>
        <v>0</v>
      </c>
      <c r="AU135" s="79">
        <f>SUM(AL136:AL144)</f>
        <v>0</v>
      </c>
    </row>
    <row r="136" spans="1:62" ht="12.75">
      <c r="A136" s="10" t="s">
        <v>50</v>
      </c>
      <c r="B136" s="10" t="s">
        <v>132</v>
      </c>
      <c r="C136" s="10" t="s">
        <v>292</v>
      </c>
      <c r="D136" s="41"/>
      <c r="E136" s="41"/>
      <c r="F136" s="10" t="s">
        <v>386</v>
      </c>
      <c r="G136" s="51">
        <v>18.4</v>
      </c>
      <c r="H136" s="51">
        <v>0</v>
      </c>
      <c r="I136" s="51">
        <f>G136*AO136</f>
        <v>0</v>
      </c>
      <c r="J136" s="51">
        <f>G136*AP136</f>
        <v>0</v>
      </c>
      <c r="K136" s="51">
        <f>G136*H136</f>
        <v>0</v>
      </c>
      <c r="L136" s="71" t="s">
        <v>407</v>
      </c>
      <c r="Z136" s="76">
        <f>IF(AQ136="5",BJ136,0)</f>
        <v>0</v>
      </c>
      <c r="AB136" s="76">
        <f>IF(AQ136="1",BH136,0)</f>
        <v>0</v>
      </c>
      <c r="AC136" s="76">
        <f>IF(AQ136="1",BI136,0)</f>
        <v>0</v>
      </c>
      <c r="AD136" s="76">
        <f>IF(AQ136="7",BH136,0)</f>
        <v>0</v>
      </c>
      <c r="AE136" s="76">
        <f>IF(AQ136="7",BI136,0)</f>
        <v>0</v>
      </c>
      <c r="AF136" s="76">
        <f>IF(AQ136="2",BH136,0)</f>
        <v>0</v>
      </c>
      <c r="AG136" s="76">
        <f>IF(AQ136="2",BI136,0)</f>
        <v>0</v>
      </c>
      <c r="AH136" s="76">
        <f>IF(AQ136="0",BJ136,0)</f>
        <v>0</v>
      </c>
      <c r="AI136" s="72"/>
      <c r="AJ136" s="51">
        <f>IF(AN136=0,K136,0)</f>
        <v>0</v>
      </c>
      <c r="AK136" s="51">
        <f>IF(AN136=15,K136,0)</f>
        <v>0</v>
      </c>
      <c r="AL136" s="51">
        <f>IF(AN136=21,K136,0)</f>
        <v>0</v>
      </c>
      <c r="AN136" s="76">
        <v>21</v>
      </c>
      <c r="AO136" s="76">
        <f>H136*0.00490706319702602</f>
        <v>0</v>
      </c>
      <c r="AP136" s="76">
        <f>H136*(1-0.00490706319702602)</f>
        <v>0</v>
      </c>
      <c r="AQ136" s="71" t="s">
        <v>7</v>
      </c>
      <c r="AV136" s="76">
        <f>AW136+AX136</f>
        <v>0</v>
      </c>
      <c r="AW136" s="76">
        <f>G136*AO136</f>
        <v>0</v>
      </c>
      <c r="AX136" s="76">
        <f>G136*AP136</f>
        <v>0</v>
      </c>
      <c r="AY136" s="77" t="s">
        <v>433</v>
      </c>
      <c r="AZ136" s="77" t="s">
        <v>432</v>
      </c>
      <c r="BA136" s="72" t="s">
        <v>445</v>
      </c>
      <c r="BC136" s="76">
        <f>AW136+AX136</f>
        <v>0</v>
      </c>
      <c r="BD136" s="76">
        <f>H136/(100-BE136)*100</f>
        <v>0</v>
      </c>
      <c r="BE136" s="76">
        <v>0</v>
      </c>
      <c r="BF136" s="76">
        <f>136</f>
        <v>136</v>
      </c>
      <c r="BH136" s="51">
        <f>G136*AO136</f>
        <v>0</v>
      </c>
      <c r="BI136" s="51">
        <f>G136*AP136</f>
        <v>0</v>
      </c>
      <c r="BJ136" s="51">
        <f>G136*H136</f>
        <v>0</v>
      </c>
    </row>
    <row r="137" spans="3:7" ht="12.75">
      <c r="C137" s="32" t="s">
        <v>293</v>
      </c>
      <c r="D137" s="42"/>
      <c r="E137" s="42"/>
      <c r="G137" s="52">
        <v>15.2</v>
      </c>
    </row>
    <row r="138" spans="3:7" ht="12.75">
      <c r="C138" s="32" t="s">
        <v>294</v>
      </c>
      <c r="D138" s="42"/>
      <c r="E138" s="42"/>
      <c r="G138" s="52">
        <v>3.2</v>
      </c>
    </row>
    <row r="139" spans="2:12" ht="25.5" customHeight="1">
      <c r="B139" s="24" t="s">
        <v>88</v>
      </c>
      <c r="C139" s="33" t="s">
        <v>295</v>
      </c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62" ht="12.75">
      <c r="A140" s="12" t="s">
        <v>51</v>
      </c>
      <c r="B140" s="12" t="s">
        <v>133</v>
      </c>
      <c r="C140" s="12" t="s">
        <v>296</v>
      </c>
      <c r="D140" s="45"/>
      <c r="E140" s="45"/>
      <c r="F140" s="12" t="s">
        <v>386</v>
      </c>
      <c r="G140" s="53">
        <v>18.676</v>
      </c>
      <c r="H140" s="53">
        <v>0</v>
      </c>
      <c r="I140" s="53">
        <f>G140*AO140</f>
        <v>0</v>
      </c>
      <c r="J140" s="53">
        <f>G140*AP140</f>
        <v>0</v>
      </c>
      <c r="K140" s="53">
        <f>G140*H140</f>
        <v>0</v>
      </c>
      <c r="L140" s="73" t="s">
        <v>407</v>
      </c>
      <c r="Z140" s="76">
        <f>IF(AQ140="5",BJ140,0)</f>
        <v>0</v>
      </c>
      <c r="AB140" s="76">
        <f>IF(AQ140="1",BH140,0)</f>
        <v>0</v>
      </c>
      <c r="AC140" s="76">
        <f>IF(AQ140="1",BI140,0)</f>
        <v>0</v>
      </c>
      <c r="AD140" s="76">
        <f>IF(AQ140="7",BH140,0)</f>
        <v>0</v>
      </c>
      <c r="AE140" s="76">
        <f>IF(AQ140="7",BI140,0)</f>
        <v>0</v>
      </c>
      <c r="AF140" s="76">
        <f>IF(AQ140="2",BH140,0)</f>
        <v>0</v>
      </c>
      <c r="AG140" s="76">
        <f>IF(AQ140="2",BI140,0)</f>
        <v>0</v>
      </c>
      <c r="AH140" s="76">
        <f>IF(AQ140="0",BJ140,0)</f>
        <v>0</v>
      </c>
      <c r="AI140" s="72"/>
      <c r="AJ140" s="53">
        <f>IF(AN140=0,K140,0)</f>
        <v>0</v>
      </c>
      <c r="AK140" s="53">
        <f>IF(AN140=15,K140,0)</f>
        <v>0</v>
      </c>
      <c r="AL140" s="53">
        <f>IF(AN140=21,K140,0)</f>
        <v>0</v>
      </c>
      <c r="AN140" s="76">
        <v>21</v>
      </c>
      <c r="AO140" s="76">
        <f>H140*1</f>
        <v>0</v>
      </c>
      <c r="AP140" s="76">
        <f>H140*(1-1)</f>
        <v>0</v>
      </c>
      <c r="AQ140" s="73" t="s">
        <v>7</v>
      </c>
      <c r="AV140" s="76">
        <f>AW140+AX140</f>
        <v>0</v>
      </c>
      <c r="AW140" s="76">
        <f>G140*AO140</f>
        <v>0</v>
      </c>
      <c r="AX140" s="76">
        <f>G140*AP140</f>
        <v>0</v>
      </c>
      <c r="AY140" s="77" t="s">
        <v>433</v>
      </c>
      <c r="AZ140" s="77" t="s">
        <v>432</v>
      </c>
      <c r="BA140" s="72" t="s">
        <v>445</v>
      </c>
      <c r="BC140" s="76">
        <f>AW140+AX140</f>
        <v>0</v>
      </c>
      <c r="BD140" s="76">
        <f>H140/(100-BE140)*100</f>
        <v>0</v>
      </c>
      <c r="BE140" s="76">
        <v>0</v>
      </c>
      <c r="BF140" s="76">
        <f>140</f>
        <v>140</v>
      </c>
      <c r="BH140" s="53">
        <f>G140*AO140</f>
        <v>0</v>
      </c>
      <c r="BI140" s="53">
        <f>G140*AP140</f>
        <v>0</v>
      </c>
      <c r="BJ140" s="53">
        <f>G140*H140</f>
        <v>0</v>
      </c>
    </row>
    <row r="141" spans="3:7" ht="12.75">
      <c r="C141" s="32" t="s">
        <v>297</v>
      </c>
      <c r="D141" s="42"/>
      <c r="E141" s="42"/>
      <c r="G141" s="52">
        <v>18.4</v>
      </c>
    </row>
    <row r="142" spans="3:7" ht="12.75">
      <c r="C142" s="32" t="s">
        <v>298</v>
      </c>
      <c r="D142" s="42"/>
      <c r="E142" s="42"/>
      <c r="G142" s="52">
        <v>0.276</v>
      </c>
    </row>
    <row r="143" spans="2:12" ht="12.75">
      <c r="B143" s="24" t="s">
        <v>88</v>
      </c>
      <c r="C143" s="33" t="s">
        <v>299</v>
      </c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62" ht="12.75">
      <c r="A144" s="12" t="s">
        <v>52</v>
      </c>
      <c r="B144" s="12" t="s">
        <v>134</v>
      </c>
      <c r="C144" s="12" t="s">
        <v>300</v>
      </c>
      <c r="D144" s="45"/>
      <c r="E144" s="45"/>
      <c r="F144" s="12" t="s">
        <v>388</v>
      </c>
      <c r="G144" s="53">
        <v>8.12</v>
      </c>
      <c r="H144" s="53">
        <v>0</v>
      </c>
      <c r="I144" s="53">
        <f>G144*AO144</f>
        <v>0</v>
      </c>
      <c r="J144" s="53">
        <f>G144*AP144</f>
        <v>0</v>
      </c>
      <c r="K144" s="53">
        <f>G144*H144</f>
        <v>0</v>
      </c>
      <c r="L144" s="73" t="s">
        <v>407</v>
      </c>
      <c r="Z144" s="76">
        <f>IF(AQ144="5",BJ144,0)</f>
        <v>0</v>
      </c>
      <c r="AB144" s="76">
        <f>IF(AQ144="1",BH144,0)</f>
        <v>0</v>
      </c>
      <c r="AC144" s="76">
        <f>IF(AQ144="1",BI144,0)</f>
        <v>0</v>
      </c>
      <c r="AD144" s="76">
        <f>IF(AQ144="7",BH144,0)</f>
        <v>0</v>
      </c>
      <c r="AE144" s="76">
        <f>IF(AQ144="7",BI144,0)</f>
        <v>0</v>
      </c>
      <c r="AF144" s="76">
        <f>IF(AQ144="2",BH144,0)</f>
        <v>0</v>
      </c>
      <c r="AG144" s="76">
        <f>IF(AQ144="2",BI144,0)</f>
        <v>0</v>
      </c>
      <c r="AH144" s="76">
        <f>IF(AQ144="0",BJ144,0)</f>
        <v>0</v>
      </c>
      <c r="AI144" s="72"/>
      <c r="AJ144" s="53">
        <f>IF(AN144=0,K144,0)</f>
        <v>0</v>
      </c>
      <c r="AK144" s="53">
        <f>IF(AN144=15,K144,0)</f>
        <v>0</v>
      </c>
      <c r="AL144" s="53">
        <f>IF(AN144=21,K144,0)</f>
        <v>0</v>
      </c>
      <c r="AN144" s="76">
        <v>21</v>
      </c>
      <c r="AO144" s="76">
        <f>H144*1</f>
        <v>0</v>
      </c>
      <c r="AP144" s="76">
        <f>H144*(1-1)</f>
        <v>0</v>
      </c>
      <c r="AQ144" s="73" t="s">
        <v>7</v>
      </c>
      <c r="AV144" s="76">
        <f>AW144+AX144</f>
        <v>0</v>
      </c>
      <c r="AW144" s="76">
        <f>G144*AO144</f>
        <v>0</v>
      </c>
      <c r="AX144" s="76">
        <f>G144*AP144</f>
        <v>0</v>
      </c>
      <c r="AY144" s="77" t="s">
        <v>433</v>
      </c>
      <c r="AZ144" s="77" t="s">
        <v>432</v>
      </c>
      <c r="BA144" s="72" t="s">
        <v>445</v>
      </c>
      <c r="BC144" s="76">
        <f>AW144+AX144</f>
        <v>0</v>
      </c>
      <c r="BD144" s="76">
        <f>H144/(100-BE144)*100</f>
        <v>0</v>
      </c>
      <c r="BE144" s="76">
        <v>0</v>
      </c>
      <c r="BF144" s="76">
        <f>144</f>
        <v>144</v>
      </c>
      <c r="BH144" s="53">
        <f>G144*AO144</f>
        <v>0</v>
      </c>
      <c r="BI144" s="53">
        <f>G144*AP144</f>
        <v>0</v>
      </c>
      <c r="BJ144" s="53">
        <f>G144*H144</f>
        <v>0</v>
      </c>
    </row>
    <row r="145" spans="3:7" ht="12.75">
      <c r="C145" s="32" t="s">
        <v>301</v>
      </c>
      <c r="D145" s="42"/>
      <c r="E145" s="42"/>
      <c r="G145" s="52">
        <v>8</v>
      </c>
    </row>
    <row r="146" spans="3:7" ht="12.75">
      <c r="C146" s="32" t="s">
        <v>302</v>
      </c>
      <c r="D146" s="42"/>
      <c r="E146" s="42"/>
      <c r="G146" s="52">
        <v>0.12</v>
      </c>
    </row>
    <row r="147" spans="1:47" ht="12.75">
      <c r="A147" s="11"/>
      <c r="B147" s="25" t="s">
        <v>135</v>
      </c>
      <c r="C147" s="25" t="s">
        <v>303</v>
      </c>
      <c r="D147" s="44"/>
      <c r="E147" s="44"/>
      <c r="F147" s="11" t="s">
        <v>6</v>
      </c>
      <c r="G147" s="11" t="s">
        <v>6</v>
      </c>
      <c r="H147" s="11" t="s">
        <v>6</v>
      </c>
      <c r="I147" s="79">
        <f>SUM(I148:I163)</f>
        <v>0</v>
      </c>
      <c r="J147" s="79">
        <f>SUM(J148:J163)</f>
        <v>0</v>
      </c>
      <c r="K147" s="79">
        <f>SUM(K148:K163)</f>
        <v>0</v>
      </c>
      <c r="L147" s="72"/>
      <c r="AI147" s="72"/>
      <c r="AS147" s="79">
        <f>SUM(AJ148:AJ163)</f>
        <v>0</v>
      </c>
      <c r="AT147" s="79">
        <f>SUM(AK148:AK163)</f>
        <v>0</v>
      </c>
      <c r="AU147" s="79">
        <f>SUM(AL148:AL163)</f>
        <v>0</v>
      </c>
    </row>
    <row r="148" spans="1:62" ht="12.75">
      <c r="A148" s="10" t="s">
        <v>53</v>
      </c>
      <c r="B148" s="10" t="s">
        <v>136</v>
      </c>
      <c r="C148" s="10" t="s">
        <v>304</v>
      </c>
      <c r="D148" s="41"/>
      <c r="E148" s="41"/>
      <c r="F148" s="10" t="s">
        <v>388</v>
      </c>
      <c r="G148" s="51">
        <v>2</v>
      </c>
      <c r="H148" s="51">
        <v>0</v>
      </c>
      <c r="I148" s="51">
        <f>G148*AO148</f>
        <v>0</v>
      </c>
      <c r="J148" s="51">
        <f>G148*AP148</f>
        <v>0</v>
      </c>
      <c r="K148" s="51">
        <f>G148*H148</f>
        <v>0</v>
      </c>
      <c r="L148" s="71" t="s">
        <v>407</v>
      </c>
      <c r="Z148" s="76">
        <f>IF(AQ148="5",BJ148,0)</f>
        <v>0</v>
      </c>
      <c r="AB148" s="76">
        <f>IF(AQ148="1",BH148,0)</f>
        <v>0</v>
      </c>
      <c r="AC148" s="76">
        <f>IF(AQ148="1",BI148,0)</f>
        <v>0</v>
      </c>
      <c r="AD148" s="76">
        <f>IF(AQ148="7",BH148,0)</f>
        <v>0</v>
      </c>
      <c r="AE148" s="76">
        <f>IF(AQ148="7",BI148,0)</f>
        <v>0</v>
      </c>
      <c r="AF148" s="76">
        <f>IF(AQ148="2",BH148,0)</f>
        <v>0</v>
      </c>
      <c r="AG148" s="76">
        <f>IF(AQ148="2",BI148,0)</f>
        <v>0</v>
      </c>
      <c r="AH148" s="76">
        <f>IF(AQ148="0",BJ148,0)</f>
        <v>0</v>
      </c>
      <c r="AI148" s="72"/>
      <c r="AJ148" s="51">
        <f>IF(AN148=0,K148,0)</f>
        <v>0</v>
      </c>
      <c r="AK148" s="51">
        <f>IF(AN148=15,K148,0)</f>
        <v>0</v>
      </c>
      <c r="AL148" s="51">
        <f>IF(AN148=21,K148,0)</f>
        <v>0</v>
      </c>
      <c r="AN148" s="76">
        <v>21</v>
      </c>
      <c r="AO148" s="76">
        <f>H148*0.770737062937063</f>
        <v>0</v>
      </c>
      <c r="AP148" s="76">
        <f>H148*(1-0.770737062937063)</f>
        <v>0</v>
      </c>
      <c r="AQ148" s="71" t="s">
        <v>7</v>
      </c>
      <c r="AV148" s="76">
        <f>AW148+AX148</f>
        <v>0</v>
      </c>
      <c r="AW148" s="76">
        <f>G148*AO148</f>
        <v>0</v>
      </c>
      <c r="AX148" s="76">
        <f>G148*AP148</f>
        <v>0</v>
      </c>
      <c r="AY148" s="77" t="s">
        <v>434</v>
      </c>
      <c r="AZ148" s="77" t="s">
        <v>432</v>
      </c>
      <c r="BA148" s="72" t="s">
        <v>445</v>
      </c>
      <c r="BC148" s="76">
        <f>AW148+AX148</f>
        <v>0</v>
      </c>
      <c r="BD148" s="76">
        <f>H148/(100-BE148)*100</f>
        <v>0</v>
      </c>
      <c r="BE148" s="76">
        <v>0</v>
      </c>
      <c r="BF148" s="76">
        <f>148</f>
        <v>148</v>
      </c>
      <c r="BH148" s="51">
        <f>G148*AO148</f>
        <v>0</v>
      </c>
      <c r="BI148" s="51">
        <f>G148*AP148</f>
        <v>0</v>
      </c>
      <c r="BJ148" s="51">
        <f>G148*H148</f>
        <v>0</v>
      </c>
    </row>
    <row r="149" spans="3:5" ht="12.75">
      <c r="C149" s="34" t="s">
        <v>305</v>
      </c>
      <c r="D149" s="46"/>
      <c r="E149" s="46"/>
    </row>
    <row r="150" spans="2:12" ht="38.25" customHeight="1">
      <c r="B150" s="24" t="s">
        <v>88</v>
      </c>
      <c r="C150" s="33" t="s">
        <v>306</v>
      </c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62" ht="12.75">
      <c r="A151" s="10" t="s">
        <v>54</v>
      </c>
      <c r="B151" s="10" t="s">
        <v>137</v>
      </c>
      <c r="C151" s="10" t="s">
        <v>307</v>
      </c>
      <c r="D151" s="41"/>
      <c r="E151" s="41"/>
      <c r="F151" s="10" t="s">
        <v>388</v>
      </c>
      <c r="G151" s="51">
        <v>2</v>
      </c>
      <c r="H151" s="51">
        <v>0</v>
      </c>
      <c r="I151" s="51">
        <f>G151*AO151</f>
        <v>0</v>
      </c>
      <c r="J151" s="51">
        <f>G151*AP151</f>
        <v>0</v>
      </c>
      <c r="K151" s="51">
        <f>G151*H151</f>
        <v>0</v>
      </c>
      <c r="L151" s="71" t="s">
        <v>407</v>
      </c>
      <c r="Z151" s="76">
        <f>IF(AQ151="5",BJ151,0)</f>
        <v>0</v>
      </c>
      <c r="AB151" s="76">
        <f>IF(AQ151="1",BH151,0)</f>
        <v>0</v>
      </c>
      <c r="AC151" s="76">
        <f>IF(AQ151="1",BI151,0)</f>
        <v>0</v>
      </c>
      <c r="AD151" s="76">
        <f>IF(AQ151="7",BH151,0)</f>
        <v>0</v>
      </c>
      <c r="AE151" s="76">
        <f>IF(AQ151="7",BI151,0)</f>
        <v>0</v>
      </c>
      <c r="AF151" s="76">
        <f>IF(AQ151="2",BH151,0)</f>
        <v>0</v>
      </c>
      <c r="AG151" s="76">
        <f>IF(AQ151="2",BI151,0)</f>
        <v>0</v>
      </c>
      <c r="AH151" s="76">
        <f>IF(AQ151="0",BJ151,0)</f>
        <v>0</v>
      </c>
      <c r="AI151" s="72"/>
      <c r="AJ151" s="51">
        <f>IF(AN151=0,K151,0)</f>
        <v>0</v>
      </c>
      <c r="AK151" s="51">
        <f>IF(AN151=15,K151,0)</f>
        <v>0</v>
      </c>
      <c r="AL151" s="51">
        <f>IF(AN151=21,K151,0)</f>
        <v>0</v>
      </c>
      <c r="AN151" s="76">
        <v>21</v>
      </c>
      <c r="AO151" s="76">
        <f>H151*0.743472882968601</f>
        <v>0</v>
      </c>
      <c r="AP151" s="76">
        <f>H151*(1-0.743472882968601)</f>
        <v>0</v>
      </c>
      <c r="AQ151" s="71" t="s">
        <v>7</v>
      </c>
      <c r="AV151" s="76">
        <f>AW151+AX151</f>
        <v>0</v>
      </c>
      <c r="AW151" s="76">
        <f>G151*AO151</f>
        <v>0</v>
      </c>
      <c r="AX151" s="76">
        <f>G151*AP151</f>
        <v>0</v>
      </c>
      <c r="AY151" s="77" t="s">
        <v>434</v>
      </c>
      <c r="AZ151" s="77" t="s">
        <v>432</v>
      </c>
      <c r="BA151" s="72" t="s">
        <v>445</v>
      </c>
      <c r="BC151" s="76">
        <f>AW151+AX151</f>
        <v>0</v>
      </c>
      <c r="BD151" s="76">
        <f>H151/(100-BE151)*100</f>
        <v>0</v>
      </c>
      <c r="BE151" s="76">
        <v>0</v>
      </c>
      <c r="BF151" s="76">
        <f>151</f>
        <v>151</v>
      </c>
      <c r="BH151" s="51">
        <f>G151*AO151</f>
        <v>0</v>
      </c>
      <c r="BI151" s="51">
        <f>G151*AP151</f>
        <v>0</v>
      </c>
      <c r="BJ151" s="51">
        <f>G151*H151</f>
        <v>0</v>
      </c>
    </row>
    <row r="152" spans="3:5" ht="12.75">
      <c r="C152" s="34" t="s">
        <v>308</v>
      </c>
      <c r="D152" s="46"/>
      <c r="E152" s="46"/>
    </row>
    <row r="153" spans="2:12" ht="25.5" customHeight="1">
      <c r="B153" s="24" t="s">
        <v>88</v>
      </c>
      <c r="C153" s="33" t="s">
        <v>309</v>
      </c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1:62" ht="12.75">
      <c r="A154" s="10" t="s">
        <v>55</v>
      </c>
      <c r="B154" s="10" t="s">
        <v>138</v>
      </c>
      <c r="C154" s="10" t="s">
        <v>310</v>
      </c>
      <c r="D154" s="41"/>
      <c r="E154" s="41"/>
      <c r="F154" s="10" t="s">
        <v>388</v>
      </c>
      <c r="G154" s="51">
        <v>2</v>
      </c>
      <c r="H154" s="51">
        <v>0</v>
      </c>
      <c r="I154" s="51">
        <f>G154*AO154</f>
        <v>0</v>
      </c>
      <c r="J154" s="51">
        <f>G154*AP154</f>
        <v>0</v>
      </c>
      <c r="K154" s="51">
        <f>G154*H154</f>
        <v>0</v>
      </c>
      <c r="L154" s="71" t="s">
        <v>407</v>
      </c>
      <c r="Z154" s="76">
        <f>IF(AQ154="5",BJ154,0)</f>
        <v>0</v>
      </c>
      <c r="AB154" s="76">
        <f>IF(AQ154="1",BH154,0)</f>
        <v>0</v>
      </c>
      <c r="AC154" s="76">
        <f>IF(AQ154="1",BI154,0)</f>
        <v>0</v>
      </c>
      <c r="AD154" s="76">
        <f>IF(AQ154="7",BH154,0)</f>
        <v>0</v>
      </c>
      <c r="AE154" s="76">
        <f>IF(AQ154="7",BI154,0)</f>
        <v>0</v>
      </c>
      <c r="AF154" s="76">
        <f>IF(AQ154="2",BH154,0)</f>
        <v>0</v>
      </c>
      <c r="AG154" s="76">
        <f>IF(AQ154="2",BI154,0)</f>
        <v>0</v>
      </c>
      <c r="AH154" s="76">
        <f>IF(AQ154="0",BJ154,0)</f>
        <v>0</v>
      </c>
      <c r="AI154" s="72"/>
      <c r="AJ154" s="51">
        <f>IF(AN154=0,K154,0)</f>
        <v>0</v>
      </c>
      <c r="AK154" s="51">
        <f>IF(AN154=15,K154,0)</f>
        <v>0</v>
      </c>
      <c r="AL154" s="51">
        <f>IF(AN154=21,K154,0)</f>
        <v>0</v>
      </c>
      <c r="AN154" s="76">
        <v>21</v>
      </c>
      <c r="AO154" s="76">
        <f>H154*0.0159997681193026</f>
        <v>0</v>
      </c>
      <c r="AP154" s="76">
        <f>H154*(1-0.0159997681193026)</f>
        <v>0</v>
      </c>
      <c r="AQ154" s="71" t="s">
        <v>7</v>
      </c>
      <c r="AV154" s="76">
        <f>AW154+AX154</f>
        <v>0</v>
      </c>
      <c r="AW154" s="76">
        <f>G154*AO154</f>
        <v>0</v>
      </c>
      <c r="AX154" s="76">
        <f>G154*AP154</f>
        <v>0</v>
      </c>
      <c r="AY154" s="77" t="s">
        <v>434</v>
      </c>
      <c r="AZ154" s="77" t="s">
        <v>432</v>
      </c>
      <c r="BA154" s="72" t="s">
        <v>445</v>
      </c>
      <c r="BC154" s="76">
        <f>AW154+AX154</f>
        <v>0</v>
      </c>
      <c r="BD154" s="76">
        <f>H154/(100-BE154)*100</f>
        <v>0</v>
      </c>
      <c r="BE154" s="76">
        <v>0</v>
      </c>
      <c r="BF154" s="76">
        <f>154</f>
        <v>154</v>
      </c>
      <c r="BH154" s="51">
        <f>G154*AO154</f>
        <v>0</v>
      </c>
      <c r="BI154" s="51">
        <f>G154*AP154</f>
        <v>0</v>
      </c>
      <c r="BJ154" s="51">
        <f>G154*H154</f>
        <v>0</v>
      </c>
    </row>
    <row r="155" spans="2:12" ht="25.5" customHeight="1">
      <c r="B155" s="24" t="s">
        <v>88</v>
      </c>
      <c r="C155" s="33" t="s">
        <v>311</v>
      </c>
      <c r="D155" s="43"/>
      <c r="E155" s="43"/>
      <c r="F155" s="43"/>
      <c r="G155" s="43"/>
      <c r="H155" s="43"/>
      <c r="I155" s="43"/>
      <c r="J155" s="43"/>
      <c r="K155" s="43"/>
      <c r="L155" s="43"/>
    </row>
    <row r="156" spans="1:62" ht="12.75">
      <c r="A156" s="12" t="s">
        <v>56</v>
      </c>
      <c r="B156" s="12" t="s">
        <v>139</v>
      </c>
      <c r="C156" s="12" t="s">
        <v>312</v>
      </c>
      <c r="D156" s="45"/>
      <c r="E156" s="45"/>
      <c r="F156" s="12" t="s">
        <v>388</v>
      </c>
      <c r="G156" s="53">
        <v>2</v>
      </c>
      <c r="H156" s="53">
        <v>0</v>
      </c>
      <c r="I156" s="53">
        <f>G156*AO156</f>
        <v>0</v>
      </c>
      <c r="J156" s="53">
        <f>G156*AP156</f>
        <v>0</v>
      </c>
      <c r="K156" s="53">
        <f>G156*H156</f>
        <v>0</v>
      </c>
      <c r="L156" s="73"/>
      <c r="Z156" s="76">
        <f>IF(AQ156="5",BJ156,0)</f>
        <v>0</v>
      </c>
      <c r="AB156" s="76">
        <f>IF(AQ156="1",BH156,0)</f>
        <v>0</v>
      </c>
      <c r="AC156" s="76">
        <f>IF(AQ156="1",BI156,0)</f>
        <v>0</v>
      </c>
      <c r="AD156" s="76">
        <f>IF(AQ156="7",BH156,0)</f>
        <v>0</v>
      </c>
      <c r="AE156" s="76">
        <f>IF(AQ156="7",BI156,0)</f>
        <v>0</v>
      </c>
      <c r="AF156" s="76">
        <f>IF(AQ156="2",BH156,0)</f>
        <v>0</v>
      </c>
      <c r="AG156" s="76">
        <f>IF(AQ156="2",BI156,0)</f>
        <v>0</v>
      </c>
      <c r="AH156" s="76">
        <f>IF(AQ156="0",BJ156,0)</f>
        <v>0</v>
      </c>
      <c r="AI156" s="72"/>
      <c r="AJ156" s="53">
        <f>IF(AN156=0,K156,0)</f>
        <v>0</v>
      </c>
      <c r="AK156" s="53">
        <f>IF(AN156=15,K156,0)</f>
        <v>0</v>
      </c>
      <c r="AL156" s="53">
        <f>IF(AN156=21,K156,0)</f>
        <v>0</v>
      </c>
      <c r="AN156" s="76">
        <v>21</v>
      </c>
      <c r="AO156" s="76">
        <f>H156*1</f>
        <v>0</v>
      </c>
      <c r="AP156" s="76">
        <f>H156*(1-1)</f>
        <v>0</v>
      </c>
      <c r="AQ156" s="73" t="s">
        <v>7</v>
      </c>
      <c r="AV156" s="76">
        <f>AW156+AX156</f>
        <v>0</v>
      </c>
      <c r="AW156" s="76">
        <f>G156*AO156</f>
        <v>0</v>
      </c>
      <c r="AX156" s="76">
        <f>G156*AP156</f>
        <v>0</v>
      </c>
      <c r="AY156" s="77" t="s">
        <v>434</v>
      </c>
      <c r="AZ156" s="77" t="s">
        <v>432</v>
      </c>
      <c r="BA156" s="72" t="s">
        <v>445</v>
      </c>
      <c r="BC156" s="76">
        <f>AW156+AX156</f>
        <v>0</v>
      </c>
      <c r="BD156" s="76">
        <f>H156/(100-BE156)*100</f>
        <v>0</v>
      </c>
      <c r="BE156" s="76">
        <v>0</v>
      </c>
      <c r="BF156" s="76">
        <f>156</f>
        <v>156</v>
      </c>
      <c r="BH156" s="53">
        <f>G156*AO156</f>
        <v>0</v>
      </c>
      <c r="BI156" s="53">
        <f>G156*AP156</f>
        <v>0</v>
      </c>
      <c r="BJ156" s="53">
        <f>G156*H156</f>
        <v>0</v>
      </c>
    </row>
    <row r="157" spans="1:62" ht="12.75">
      <c r="A157" s="10" t="s">
        <v>57</v>
      </c>
      <c r="B157" s="10" t="s">
        <v>140</v>
      </c>
      <c r="C157" s="10" t="s">
        <v>313</v>
      </c>
      <c r="D157" s="41"/>
      <c r="E157" s="41"/>
      <c r="F157" s="10" t="s">
        <v>387</v>
      </c>
      <c r="G157" s="51">
        <v>6.624</v>
      </c>
      <c r="H157" s="51">
        <v>0</v>
      </c>
      <c r="I157" s="51">
        <f>G157*AO157</f>
        <v>0</v>
      </c>
      <c r="J157" s="51">
        <f>G157*AP157</f>
        <v>0</v>
      </c>
      <c r="K157" s="51">
        <f>G157*H157</f>
        <v>0</v>
      </c>
      <c r="L157" s="71" t="s">
        <v>407</v>
      </c>
      <c r="Z157" s="76">
        <f>IF(AQ157="5",BJ157,0)</f>
        <v>0</v>
      </c>
      <c r="AB157" s="76">
        <f>IF(AQ157="1",BH157,0)</f>
        <v>0</v>
      </c>
      <c r="AC157" s="76">
        <f>IF(AQ157="1",BI157,0)</f>
        <v>0</v>
      </c>
      <c r="AD157" s="76">
        <f>IF(AQ157="7",BH157,0)</f>
        <v>0</v>
      </c>
      <c r="AE157" s="76">
        <f>IF(AQ157="7",BI157,0)</f>
        <v>0</v>
      </c>
      <c r="AF157" s="76">
        <f>IF(AQ157="2",BH157,0)</f>
        <v>0</v>
      </c>
      <c r="AG157" s="76">
        <f>IF(AQ157="2",BI157,0)</f>
        <v>0</v>
      </c>
      <c r="AH157" s="76">
        <f>IF(AQ157="0",BJ157,0)</f>
        <v>0</v>
      </c>
      <c r="AI157" s="72"/>
      <c r="AJ157" s="51">
        <f>IF(AN157=0,K157,0)</f>
        <v>0</v>
      </c>
      <c r="AK157" s="51">
        <f>IF(AN157=15,K157,0)</f>
        <v>0</v>
      </c>
      <c r="AL157" s="51">
        <f>IF(AN157=21,K157,0)</f>
        <v>0</v>
      </c>
      <c r="AN157" s="76">
        <v>21</v>
      </c>
      <c r="AO157" s="76">
        <f>H157*0.839468998400069</f>
        <v>0</v>
      </c>
      <c r="AP157" s="76">
        <f>H157*(1-0.839468998400069)</f>
        <v>0</v>
      </c>
      <c r="AQ157" s="71" t="s">
        <v>7</v>
      </c>
      <c r="AV157" s="76">
        <f>AW157+AX157</f>
        <v>0</v>
      </c>
      <c r="AW157" s="76">
        <f>G157*AO157</f>
        <v>0</v>
      </c>
      <c r="AX157" s="76">
        <f>G157*AP157</f>
        <v>0</v>
      </c>
      <c r="AY157" s="77" t="s">
        <v>434</v>
      </c>
      <c r="AZ157" s="77" t="s">
        <v>432</v>
      </c>
      <c r="BA157" s="72" t="s">
        <v>445</v>
      </c>
      <c r="BC157" s="76">
        <f>AW157+AX157</f>
        <v>0</v>
      </c>
      <c r="BD157" s="76">
        <f>H157/(100-BE157)*100</f>
        <v>0</v>
      </c>
      <c r="BE157" s="76">
        <v>0</v>
      </c>
      <c r="BF157" s="76">
        <f>157</f>
        <v>157</v>
      </c>
      <c r="BH157" s="51">
        <f>G157*AO157</f>
        <v>0</v>
      </c>
      <c r="BI157" s="51">
        <f>G157*AP157</f>
        <v>0</v>
      </c>
      <c r="BJ157" s="51">
        <f>G157*H157</f>
        <v>0</v>
      </c>
    </row>
    <row r="158" spans="3:7" ht="12.75">
      <c r="C158" s="32" t="s">
        <v>314</v>
      </c>
      <c r="D158" s="42"/>
      <c r="E158" s="42"/>
      <c r="G158" s="52">
        <v>6.624</v>
      </c>
    </row>
    <row r="159" spans="2:12" ht="25.5" customHeight="1">
      <c r="B159" s="24" t="s">
        <v>88</v>
      </c>
      <c r="C159" s="33" t="s">
        <v>315</v>
      </c>
      <c r="D159" s="43"/>
      <c r="E159" s="43"/>
      <c r="F159" s="43"/>
      <c r="G159" s="43"/>
      <c r="H159" s="43"/>
      <c r="I159" s="43"/>
      <c r="J159" s="43"/>
      <c r="K159" s="43"/>
      <c r="L159" s="43"/>
    </row>
    <row r="160" spans="1:62" ht="12.75">
      <c r="A160" s="10" t="s">
        <v>58</v>
      </c>
      <c r="B160" s="10" t="s">
        <v>141</v>
      </c>
      <c r="C160" s="10" t="s">
        <v>316</v>
      </c>
      <c r="D160" s="41"/>
      <c r="E160" s="41"/>
      <c r="F160" s="10" t="s">
        <v>388</v>
      </c>
      <c r="G160" s="51">
        <v>6</v>
      </c>
      <c r="H160" s="51">
        <v>0</v>
      </c>
      <c r="I160" s="51">
        <f>G160*AO160</f>
        <v>0</v>
      </c>
      <c r="J160" s="51">
        <f>G160*AP160</f>
        <v>0</v>
      </c>
      <c r="K160" s="51">
        <f>G160*H160</f>
        <v>0</v>
      </c>
      <c r="L160" s="71" t="s">
        <v>408</v>
      </c>
      <c r="Z160" s="76">
        <f>IF(AQ160="5",BJ160,0)</f>
        <v>0</v>
      </c>
      <c r="AB160" s="76">
        <f>IF(AQ160="1",BH160,0)</f>
        <v>0</v>
      </c>
      <c r="AC160" s="76">
        <f>IF(AQ160="1",BI160,0)</f>
        <v>0</v>
      </c>
      <c r="AD160" s="76">
        <f>IF(AQ160="7",BH160,0)</f>
        <v>0</v>
      </c>
      <c r="AE160" s="76">
        <f>IF(AQ160="7",BI160,0)</f>
        <v>0</v>
      </c>
      <c r="AF160" s="76">
        <f>IF(AQ160="2",BH160,0)</f>
        <v>0</v>
      </c>
      <c r="AG160" s="76">
        <f>IF(AQ160="2",BI160,0)</f>
        <v>0</v>
      </c>
      <c r="AH160" s="76">
        <f>IF(AQ160="0",BJ160,0)</f>
        <v>0</v>
      </c>
      <c r="AI160" s="72"/>
      <c r="AJ160" s="51">
        <f>IF(AN160=0,K160,0)</f>
        <v>0</v>
      </c>
      <c r="AK160" s="51">
        <f>IF(AN160=15,K160,0)</f>
        <v>0</v>
      </c>
      <c r="AL160" s="51">
        <f>IF(AN160=21,K160,0)</f>
        <v>0</v>
      </c>
      <c r="AN160" s="76">
        <v>21</v>
      </c>
      <c r="AO160" s="76">
        <f>H160*0.484987489574646</f>
        <v>0</v>
      </c>
      <c r="AP160" s="76">
        <f>H160*(1-0.484987489574646)</f>
        <v>0</v>
      </c>
      <c r="AQ160" s="71" t="s">
        <v>7</v>
      </c>
      <c r="AV160" s="76">
        <f>AW160+AX160</f>
        <v>0</v>
      </c>
      <c r="AW160" s="76">
        <f>G160*AO160</f>
        <v>0</v>
      </c>
      <c r="AX160" s="76">
        <f>G160*AP160</f>
        <v>0</v>
      </c>
      <c r="AY160" s="77" t="s">
        <v>434</v>
      </c>
      <c r="AZ160" s="77" t="s">
        <v>432</v>
      </c>
      <c r="BA160" s="72" t="s">
        <v>445</v>
      </c>
      <c r="BC160" s="76">
        <f>AW160+AX160</f>
        <v>0</v>
      </c>
      <c r="BD160" s="76">
        <f>H160/(100-BE160)*100</f>
        <v>0</v>
      </c>
      <c r="BE160" s="76">
        <v>0</v>
      </c>
      <c r="BF160" s="76">
        <f>160</f>
        <v>160</v>
      </c>
      <c r="BH160" s="51">
        <f>G160*AO160</f>
        <v>0</v>
      </c>
      <c r="BI160" s="51">
        <f>G160*AP160</f>
        <v>0</v>
      </c>
      <c r="BJ160" s="51">
        <f>G160*H160</f>
        <v>0</v>
      </c>
    </row>
    <row r="161" spans="1:62" ht="12.75">
      <c r="A161" s="10" t="s">
        <v>59</v>
      </c>
      <c r="B161" s="10" t="s">
        <v>142</v>
      </c>
      <c r="C161" s="10" t="s">
        <v>317</v>
      </c>
      <c r="D161" s="41"/>
      <c r="E161" s="41"/>
      <c r="F161" s="10" t="s">
        <v>388</v>
      </c>
      <c r="G161" s="51">
        <v>6</v>
      </c>
      <c r="H161" s="51">
        <v>0</v>
      </c>
      <c r="I161" s="51">
        <f>G161*AO161</f>
        <v>0</v>
      </c>
      <c r="J161" s="51">
        <f>G161*AP161</f>
        <v>0</v>
      </c>
      <c r="K161" s="51">
        <f>G161*H161</f>
        <v>0</v>
      </c>
      <c r="L161" s="71" t="s">
        <v>408</v>
      </c>
      <c r="Z161" s="76">
        <f>IF(AQ161="5",BJ161,0)</f>
        <v>0</v>
      </c>
      <c r="AB161" s="76">
        <f>IF(AQ161="1",BH161,0)</f>
        <v>0</v>
      </c>
      <c r="AC161" s="76">
        <f>IF(AQ161="1",BI161,0)</f>
        <v>0</v>
      </c>
      <c r="AD161" s="76">
        <f>IF(AQ161="7",BH161,0)</f>
        <v>0</v>
      </c>
      <c r="AE161" s="76">
        <f>IF(AQ161="7",BI161,0)</f>
        <v>0</v>
      </c>
      <c r="AF161" s="76">
        <f>IF(AQ161="2",BH161,0)</f>
        <v>0</v>
      </c>
      <c r="AG161" s="76">
        <f>IF(AQ161="2",BI161,0)</f>
        <v>0</v>
      </c>
      <c r="AH161" s="76">
        <f>IF(AQ161="0",BJ161,0)</f>
        <v>0</v>
      </c>
      <c r="AI161" s="72"/>
      <c r="AJ161" s="51">
        <f>IF(AN161=0,K161,0)</f>
        <v>0</v>
      </c>
      <c r="AK161" s="51">
        <f>IF(AN161=15,K161,0)</f>
        <v>0</v>
      </c>
      <c r="AL161" s="51">
        <f>IF(AN161=21,K161,0)</f>
        <v>0</v>
      </c>
      <c r="AN161" s="76">
        <v>21</v>
      </c>
      <c r="AO161" s="76">
        <f>H161*0.460227272727273</f>
        <v>0</v>
      </c>
      <c r="AP161" s="76">
        <f>H161*(1-0.460227272727273)</f>
        <v>0</v>
      </c>
      <c r="AQ161" s="71" t="s">
        <v>7</v>
      </c>
      <c r="AV161" s="76">
        <f>AW161+AX161</f>
        <v>0</v>
      </c>
      <c r="AW161" s="76">
        <f>G161*AO161</f>
        <v>0</v>
      </c>
      <c r="AX161" s="76">
        <f>G161*AP161</f>
        <v>0</v>
      </c>
      <c r="AY161" s="77" t="s">
        <v>434</v>
      </c>
      <c r="AZ161" s="77" t="s">
        <v>432</v>
      </c>
      <c r="BA161" s="72" t="s">
        <v>445</v>
      </c>
      <c r="BC161" s="76">
        <f>AW161+AX161</f>
        <v>0</v>
      </c>
      <c r="BD161" s="76">
        <f>H161/(100-BE161)*100</f>
        <v>0</v>
      </c>
      <c r="BE161" s="76">
        <v>0</v>
      </c>
      <c r="BF161" s="76">
        <f>161</f>
        <v>161</v>
      </c>
      <c r="BH161" s="51">
        <f>G161*AO161</f>
        <v>0</v>
      </c>
      <c r="BI161" s="51">
        <f>G161*AP161</f>
        <v>0</v>
      </c>
      <c r="BJ161" s="51">
        <f>G161*H161</f>
        <v>0</v>
      </c>
    </row>
    <row r="162" spans="1:62" ht="12.75">
      <c r="A162" s="10" t="s">
        <v>60</v>
      </c>
      <c r="B162" s="10" t="s">
        <v>143</v>
      </c>
      <c r="C162" s="10" t="s">
        <v>318</v>
      </c>
      <c r="D162" s="41"/>
      <c r="E162" s="41"/>
      <c r="F162" s="10" t="s">
        <v>388</v>
      </c>
      <c r="G162" s="51">
        <v>2</v>
      </c>
      <c r="H162" s="51">
        <v>0</v>
      </c>
      <c r="I162" s="51">
        <f>G162*AO162</f>
        <v>0</v>
      </c>
      <c r="J162" s="51">
        <f>G162*AP162</f>
        <v>0</v>
      </c>
      <c r="K162" s="51">
        <f>G162*H162</f>
        <v>0</v>
      </c>
      <c r="L162" s="71" t="s">
        <v>408</v>
      </c>
      <c r="Z162" s="76">
        <f>IF(AQ162="5",BJ162,0)</f>
        <v>0</v>
      </c>
      <c r="AB162" s="76">
        <f>IF(AQ162="1",BH162,0)</f>
        <v>0</v>
      </c>
      <c r="AC162" s="76">
        <f>IF(AQ162="1",BI162,0)</f>
        <v>0</v>
      </c>
      <c r="AD162" s="76">
        <f>IF(AQ162="7",BH162,0)</f>
        <v>0</v>
      </c>
      <c r="AE162" s="76">
        <f>IF(AQ162="7",BI162,0)</f>
        <v>0</v>
      </c>
      <c r="AF162" s="76">
        <f>IF(AQ162="2",BH162,0)</f>
        <v>0</v>
      </c>
      <c r="AG162" s="76">
        <f>IF(AQ162="2",BI162,0)</f>
        <v>0</v>
      </c>
      <c r="AH162" s="76">
        <f>IF(AQ162="0",BJ162,0)</f>
        <v>0</v>
      </c>
      <c r="AI162" s="72"/>
      <c r="AJ162" s="51">
        <f>IF(AN162=0,K162,0)</f>
        <v>0</v>
      </c>
      <c r="AK162" s="51">
        <f>IF(AN162=15,K162,0)</f>
        <v>0</v>
      </c>
      <c r="AL162" s="51">
        <f>IF(AN162=21,K162,0)</f>
        <v>0</v>
      </c>
      <c r="AN162" s="76">
        <v>21</v>
      </c>
      <c r="AO162" s="76">
        <f>H162*0.327952568678083</f>
        <v>0</v>
      </c>
      <c r="AP162" s="76">
        <f>H162*(1-0.327952568678083)</f>
        <v>0</v>
      </c>
      <c r="AQ162" s="71" t="s">
        <v>7</v>
      </c>
      <c r="AV162" s="76">
        <f>AW162+AX162</f>
        <v>0</v>
      </c>
      <c r="AW162" s="76">
        <f>G162*AO162</f>
        <v>0</v>
      </c>
      <c r="AX162" s="76">
        <f>G162*AP162</f>
        <v>0</v>
      </c>
      <c r="AY162" s="77" t="s">
        <v>434</v>
      </c>
      <c r="AZ162" s="77" t="s">
        <v>432</v>
      </c>
      <c r="BA162" s="72" t="s">
        <v>445</v>
      </c>
      <c r="BC162" s="76">
        <f>AW162+AX162</f>
        <v>0</v>
      </c>
      <c r="BD162" s="76">
        <f>H162/(100-BE162)*100</f>
        <v>0</v>
      </c>
      <c r="BE162" s="76">
        <v>0</v>
      </c>
      <c r="BF162" s="76">
        <f>162</f>
        <v>162</v>
      </c>
      <c r="BH162" s="51">
        <f>G162*AO162</f>
        <v>0</v>
      </c>
      <c r="BI162" s="51">
        <f>G162*AP162</f>
        <v>0</v>
      </c>
      <c r="BJ162" s="51">
        <f>G162*H162</f>
        <v>0</v>
      </c>
    </row>
    <row r="163" spans="1:62" ht="12.75">
      <c r="A163" s="10" t="s">
        <v>61</v>
      </c>
      <c r="B163" s="10" t="s">
        <v>144</v>
      </c>
      <c r="C163" s="10" t="s">
        <v>319</v>
      </c>
      <c r="D163" s="41"/>
      <c r="E163" s="41"/>
      <c r="F163" s="10" t="s">
        <v>388</v>
      </c>
      <c r="G163" s="51">
        <v>2</v>
      </c>
      <c r="H163" s="51">
        <v>0</v>
      </c>
      <c r="I163" s="51">
        <f>G163*AO163</f>
        <v>0</v>
      </c>
      <c r="J163" s="51">
        <f>G163*AP163</f>
        <v>0</v>
      </c>
      <c r="K163" s="51">
        <f>G163*H163</f>
        <v>0</v>
      </c>
      <c r="L163" s="71" t="s">
        <v>408</v>
      </c>
      <c r="Z163" s="76">
        <f>IF(AQ163="5",BJ163,0)</f>
        <v>0</v>
      </c>
      <c r="AB163" s="76">
        <f>IF(AQ163="1",BH163,0)</f>
        <v>0</v>
      </c>
      <c r="AC163" s="76">
        <f>IF(AQ163="1",BI163,0)</f>
        <v>0</v>
      </c>
      <c r="AD163" s="76">
        <f>IF(AQ163="7",BH163,0)</f>
        <v>0</v>
      </c>
      <c r="AE163" s="76">
        <f>IF(AQ163="7",BI163,0)</f>
        <v>0</v>
      </c>
      <c r="AF163" s="76">
        <f>IF(AQ163="2",BH163,0)</f>
        <v>0</v>
      </c>
      <c r="AG163" s="76">
        <f>IF(AQ163="2",BI163,0)</f>
        <v>0</v>
      </c>
      <c r="AH163" s="76">
        <f>IF(AQ163="0",BJ163,0)</f>
        <v>0</v>
      </c>
      <c r="AI163" s="72"/>
      <c r="AJ163" s="51">
        <f>IF(AN163=0,K163,0)</f>
        <v>0</v>
      </c>
      <c r="AK163" s="51">
        <f>IF(AN163=15,K163,0)</f>
        <v>0</v>
      </c>
      <c r="AL163" s="51">
        <f>IF(AN163=21,K163,0)</f>
        <v>0</v>
      </c>
      <c r="AN163" s="76">
        <v>21</v>
      </c>
      <c r="AO163" s="76">
        <f>H163*0.118030303030303</f>
        <v>0</v>
      </c>
      <c r="AP163" s="76">
        <f>H163*(1-0.118030303030303)</f>
        <v>0</v>
      </c>
      <c r="AQ163" s="71" t="s">
        <v>7</v>
      </c>
      <c r="AV163" s="76">
        <f>AW163+AX163</f>
        <v>0</v>
      </c>
      <c r="AW163" s="76">
        <f>G163*AO163</f>
        <v>0</v>
      </c>
      <c r="AX163" s="76">
        <f>G163*AP163</f>
        <v>0</v>
      </c>
      <c r="AY163" s="77" t="s">
        <v>434</v>
      </c>
      <c r="AZ163" s="77" t="s">
        <v>432</v>
      </c>
      <c r="BA163" s="72" t="s">
        <v>445</v>
      </c>
      <c r="BC163" s="76">
        <f>AW163+AX163</f>
        <v>0</v>
      </c>
      <c r="BD163" s="76">
        <f>H163/(100-BE163)*100</f>
        <v>0</v>
      </c>
      <c r="BE163" s="76">
        <v>0</v>
      </c>
      <c r="BF163" s="76">
        <f>163</f>
        <v>163</v>
      </c>
      <c r="BH163" s="51">
        <f>G163*AO163</f>
        <v>0</v>
      </c>
      <c r="BI163" s="51">
        <f>G163*AP163</f>
        <v>0</v>
      </c>
      <c r="BJ163" s="51">
        <f>G163*H163</f>
        <v>0</v>
      </c>
    </row>
    <row r="164" spans="2:12" ht="38.25" customHeight="1">
      <c r="B164" s="24" t="s">
        <v>88</v>
      </c>
      <c r="C164" s="33" t="s">
        <v>320</v>
      </c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1:47" ht="12.75">
      <c r="A165" s="11"/>
      <c r="B165" s="25" t="s">
        <v>145</v>
      </c>
      <c r="C165" s="25" t="s">
        <v>321</v>
      </c>
      <c r="D165" s="44"/>
      <c r="E165" s="44"/>
      <c r="F165" s="11" t="s">
        <v>6</v>
      </c>
      <c r="G165" s="11" t="s">
        <v>6</v>
      </c>
      <c r="H165" s="11" t="s">
        <v>6</v>
      </c>
      <c r="I165" s="79">
        <f>SUM(I166:I166)</f>
        <v>0</v>
      </c>
      <c r="J165" s="79">
        <f>SUM(J166:J166)</f>
        <v>0</v>
      </c>
      <c r="K165" s="79">
        <f>SUM(K166:K166)</f>
        <v>0</v>
      </c>
      <c r="L165" s="72"/>
      <c r="AI165" s="72"/>
      <c r="AS165" s="79">
        <f>SUM(AJ166:AJ166)</f>
        <v>0</v>
      </c>
      <c r="AT165" s="79">
        <f>SUM(AK166:AK166)</f>
        <v>0</v>
      </c>
      <c r="AU165" s="79">
        <f>SUM(AL166:AL166)</f>
        <v>0</v>
      </c>
    </row>
    <row r="166" spans="1:62" ht="12.75">
      <c r="A166" s="10" t="s">
        <v>62</v>
      </c>
      <c r="B166" s="10" t="s">
        <v>146</v>
      </c>
      <c r="C166" s="10" t="s">
        <v>322</v>
      </c>
      <c r="D166" s="41"/>
      <c r="E166" s="41"/>
      <c r="F166" s="10" t="s">
        <v>386</v>
      </c>
      <c r="G166" s="51">
        <v>30</v>
      </c>
      <c r="H166" s="51">
        <v>0</v>
      </c>
      <c r="I166" s="51">
        <f>G166*AO166</f>
        <v>0</v>
      </c>
      <c r="J166" s="51">
        <f>G166*AP166</f>
        <v>0</v>
      </c>
      <c r="K166" s="51">
        <f>G166*H166</f>
        <v>0</v>
      </c>
      <c r="L166" s="71"/>
      <c r="Z166" s="76">
        <f>IF(AQ166="5",BJ166,0)</f>
        <v>0</v>
      </c>
      <c r="AB166" s="76">
        <f>IF(AQ166="1",BH166,0)</f>
        <v>0</v>
      </c>
      <c r="AC166" s="76">
        <f>IF(AQ166="1",BI166,0)</f>
        <v>0</v>
      </c>
      <c r="AD166" s="76">
        <f>IF(AQ166="7",BH166,0)</f>
        <v>0</v>
      </c>
      <c r="AE166" s="76">
        <f>IF(AQ166="7",BI166,0)</f>
        <v>0</v>
      </c>
      <c r="AF166" s="76">
        <f>IF(AQ166="2",BH166,0)</f>
        <v>0</v>
      </c>
      <c r="AG166" s="76">
        <f>IF(AQ166="2",BI166,0)</f>
        <v>0</v>
      </c>
      <c r="AH166" s="76">
        <f>IF(AQ166="0",BJ166,0)</f>
        <v>0</v>
      </c>
      <c r="AI166" s="72"/>
      <c r="AJ166" s="51">
        <f>IF(AN166=0,K166,0)</f>
        <v>0</v>
      </c>
      <c r="AK166" s="51">
        <f>IF(AN166=15,K166,0)</f>
        <v>0</v>
      </c>
      <c r="AL166" s="51">
        <f>IF(AN166=21,K166,0)</f>
        <v>0</v>
      </c>
      <c r="AN166" s="76">
        <v>21</v>
      </c>
      <c r="AO166" s="76">
        <f>H166*0.565217391304348</f>
        <v>0</v>
      </c>
      <c r="AP166" s="76">
        <f>H166*(1-0.565217391304348)</f>
        <v>0</v>
      </c>
      <c r="AQ166" s="71" t="s">
        <v>7</v>
      </c>
      <c r="AV166" s="76">
        <f>AW166+AX166</f>
        <v>0</v>
      </c>
      <c r="AW166" s="76">
        <f>G166*AO166</f>
        <v>0</v>
      </c>
      <c r="AX166" s="76">
        <f>G166*AP166</f>
        <v>0</v>
      </c>
      <c r="AY166" s="77" t="s">
        <v>435</v>
      </c>
      <c r="AZ166" s="77" t="s">
        <v>443</v>
      </c>
      <c r="BA166" s="72" t="s">
        <v>445</v>
      </c>
      <c r="BC166" s="76">
        <f>AW166+AX166</f>
        <v>0</v>
      </c>
      <c r="BD166" s="76">
        <f>H166/(100-BE166)*100</f>
        <v>0</v>
      </c>
      <c r="BE166" s="76">
        <v>0</v>
      </c>
      <c r="BF166" s="76">
        <f>166</f>
        <v>166</v>
      </c>
      <c r="BH166" s="51">
        <f>G166*AO166</f>
        <v>0</v>
      </c>
      <c r="BI166" s="51">
        <f>G166*AP166</f>
        <v>0</v>
      </c>
      <c r="BJ166" s="51">
        <f>G166*H166</f>
        <v>0</v>
      </c>
    </row>
    <row r="167" spans="3:7" ht="12.75">
      <c r="C167" s="32" t="s">
        <v>323</v>
      </c>
      <c r="D167" s="42"/>
      <c r="E167" s="42"/>
      <c r="G167" s="52">
        <v>0</v>
      </c>
    </row>
    <row r="168" spans="1:47" ht="12.75">
      <c r="A168" s="11"/>
      <c r="B168" s="25" t="s">
        <v>147</v>
      </c>
      <c r="C168" s="25" t="s">
        <v>324</v>
      </c>
      <c r="D168" s="44"/>
      <c r="E168" s="44"/>
      <c r="F168" s="11" t="s">
        <v>6</v>
      </c>
      <c r="G168" s="11" t="s">
        <v>6</v>
      </c>
      <c r="H168" s="11" t="s">
        <v>6</v>
      </c>
      <c r="I168" s="79">
        <f>SUM(I169:I195)</f>
        <v>0</v>
      </c>
      <c r="J168" s="79">
        <f>SUM(J169:J195)</f>
        <v>0</v>
      </c>
      <c r="K168" s="79">
        <f>SUM(K169:K195)</f>
        <v>0</v>
      </c>
      <c r="L168" s="72"/>
      <c r="AI168" s="72"/>
      <c r="AS168" s="79">
        <f>SUM(AJ169:AJ195)</f>
        <v>0</v>
      </c>
      <c r="AT168" s="79">
        <f>SUM(AK169:AK195)</f>
        <v>0</v>
      </c>
      <c r="AU168" s="79">
        <f>SUM(AL169:AL195)</f>
        <v>0</v>
      </c>
    </row>
    <row r="169" spans="1:62" ht="12.75">
      <c r="A169" s="10" t="s">
        <v>63</v>
      </c>
      <c r="B169" s="10" t="s">
        <v>148</v>
      </c>
      <c r="C169" s="10" t="s">
        <v>325</v>
      </c>
      <c r="D169" s="41"/>
      <c r="E169" s="41"/>
      <c r="F169" s="10" t="s">
        <v>386</v>
      </c>
      <c r="G169" s="51">
        <v>315</v>
      </c>
      <c r="H169" s="51">
        <v>0</v>
      </c>
      <c r="I169" s="51">
        <f>G169*AO169</f>
        <v>0</v>
      </c>
      <c r="J169" s="51">
        <f>G169*AP169</f>
        <v>0</v>
      </c>
      <c r="K169" s="51">
        <f>G169*H169</f>
        <v>0</v>
      </c>
      <c r="L169" s="71" t="s">
        <v>407</v>
      </c>
      <c r="Z169" s="76">
        <f>IF(AQ169="5",BJ169,0)</f>
        <v>0</v>
      </c>
      <c r="AB169" s="76">
        <f>IF(AQ169="1",BH169,0)</f>
        <v>0</v>
      </c>
      <c r="AC169" s="76">
        <f>IF(AQ169="1",BI169,0)</f>
        <v>0</v>
      </c>
      <c r="AD169" s="76">
        <f>IF(AQ169="7",BH169,0)</f>
        <v>0</v>
      </c>
      <c r="AE169" s="76">
        <f>IF(AQ169="7",BI169,0)</f>
        <v>0</v>
      </c>
      <c r="AF169" s="76">
        <f>IF(AQ169="2",BH169,0)</f>
        <v>0</v>
      </c>
      <c r="AG169" s="76">
        <f>IF(AQ169="2",BI169,0)</f>
        <v>0</v>
      </c>
      <c r="AH169" s="76">
        <f>IF(AQ169="0",BJ169,0)</f>
        <v>0</v>
      </c>
      <c r="AI169" s="72"/>
      <c r="AJ169" s="51">
        <f>IF(AN169=0,K169,0)</f>
        <v>0</v>
      </c>
      <c r="AK169" s="51">
        <f>IF(AN169=15,K169,0)</f>
        <v>0</v>
      </c>
      <c r="AL169" s="51">
        <f>IF(AN169=21,K169,0)</f>
        <v>0</v>
      </c>
      <c r="AN169" s="76">
        <v>21</v>
      </c>
      <c r="AO169" s="76">
        <f>H169*0.579734152155469</f>
        <v>0</v>
      </c>
      <c r="AP169" s="76">
        <f>H169*(1-0.579734152155469)</f>
        <v>0</v>
      </c>
      <c r="AQ169" s="71" t="s">
        <v>7</v>
      </c>
      <c r="AV169" s="76">
        <f>AW169+AX169</f>
        <v>0</v>
      </c>
      <c r="AW169" s="76">
        <f>G169*AO169</f>
        <v>0</v>
      </c>
      <c r="AX169" s="76">
        <f>G169*AP169</f>
        <v>0</v>
      </c>
      <c r="AY169" s="77" t="s">
        <v>436</v>
      </c>
      <c r="AZ169" s="77" t="s">
        <v>443</v>
      </c>
      <c r="BA169" s="72" t="s">
        <v>445</v>
      </c>
      <c r="BC169" s="76">
        <f>AW169+AX169</f>
        <v>0</v>
      </c>
      <c r="BD169" s="76">
        <f>H169/(100-BE169)*100</f>
        <v>0</v>
      </c>
      <c r="BE169" s="76">
        <v>0</v>
      </c>
      <c r="BF169" s="76">
        <f>169</f>
        <v>169</v>
      </c>
      <c r="BH169" s="51">
        <f>G169*AO169</f>
        <v>0</v>
      </c>
      <c r="BI169" s="51">
        <f>G169*AP169</f>
        <v>0</v>
      </c>
      <c r="BJ169" s="51">
        <f>G169*H169</f>
        <v>0</v>
      </c>
    </row>
    <row r="170" spans="3:7" ht="12.75">
      <c r="C170" s="32" t="s">
        <v>326</v>
      </c>
      <c r="D170" s="42"/>
      <c r="E170" s="42"/>
      <c r="G170" s="52">
        <v>272</v>
      </c>
    </row>
    <row r="171" spans="3:7" ht="12.75">
      <c r="C171" s="32" t="s">
        <v>327</v>
      </c>
      <c r="D171" s="42"/>
      <c r="E171" s="42"/>
      <c r="G171" s="52">
        <v>43</v>
      </c>
    </row>
    <row r="172" spans="2:12" ht="12.75">
      <c r="B172" s="24" t="s">
        <v>88</v>
      </c>
      <c r="C172" s="33" t="s">
        <v>328</v>
      </c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1:62" ht="12.75">
      <c r="A173" s="12" t="s">
        <v>64</v>
      </c>
      <c r="B173" s="12" t="s">
        <v>149</v>
      </c>
      <c r="C173" s="12" t="s">
        <v>329</v>
      </c>
      <c r="D173" s="45"/>
      <c r="E173" s="45"/>
      <c r="F173" s="12" t="s">
        <v>388</v>
      </c>
      <c r="G173" s="53">
        <v>43.43</v>
      </c>
      <c r="H173" s="53">
        <v>0</v>
      </c>
      <c r="I173" s="53">
        <f>G173*AO173</f>
        <v>0</v>
      </c>
      <c r="J173" s="53">
        <f>G173*AP173</f>
        <v>0</v>
      </c>
      <c r="K173" s="53">
        <f>G173*H173</f>
        <v>0</v>
      </c>
      <c r="L173" s="73" t="s">
        <v>407</v>
      </c>
      <c r="Z173" s="76">
        <f>IF(AQ173="5",BJ173,0)</f>
        <v>0</v>
      </c>
      <c r="AB173" s="76">
        <f>IF(AQ173="1",BH173,0)</f>
        <v>0</v>
      </c>
      <c r="AC173" s="76">
        <f>IF(AQ173="1",BI173,0)</f>
        <v>0</v>
      </c>
      <c r="AD173" s="76">
        <f>IF(AQ173="7",BH173,0)</f>
        <v>0</v>
      </c>
      <c r="AE173" s="76">
        <f>IF(AQ173="7",BI173,0)</f>
        <v>0</v>
      </c>
      <c r="AF173" s="76">
        <f>IF(AQ173="2",BH173,0)</f>
        <v>0</v>
      </c>
      <c r="AG173" s="76">
        <f>IF(AQ173="2",BI173,0)</f>
        <v>0</v>
      </c>
      <c r="AH173" s="76">
        <f>IF(AQ173="0",BJ173,0)</f>
        <v>0</v>
      </c>
      <c r="AI173" s="72"/>
      <c r="AJ173" s="53">
        <f>IF(AN173=0,K173,0)</f>
        <v>0</v>
      </c>
      <c r="AK173" s="53">
        <f>IF(AN173=15,K173,0)</f>
        <v>0</v>
      </c>
      <c r="AL173" s="53">
        <f>IF(AN173=21,K173,0)</f>
        <v>0</v>
      </c>
      <c r="AN173" s="76">
        <v>21</v>
      </c>
      <c r="AO173" s="76">
        <f>H173*1</f>
        <v>0</v>
      </c>
      <c r="AP173" s="76">
        <f>H173*(1-1)</f>
        <v>0</v>
      </c>
      <c r="AQ173" s="73" t="s">
        <v>7</v>
      </c>
      <c r="AV173" s="76">
        <f>AW173+AX173</f>
        <v>0</v>
      </c>
      <c r="AW173" s="76">
        <f>G173*AO173</f>
        <v>0</v>
      </c>
      <c r="AX173" s="76">
        <f>G173*AP173</f>
        <v>0</v>
      </c>
      <c r="AY173" s="77" t="s">
        <v>436</v>
      </c>
      <c r="AZ173" s="77" t="s">
        <v>443</v>
      </c>
      <c r="BA173" s="72" t="s">
        <v>445</v>
      </c>
      <c r="BC173" s="76">
        <f>AW173+AX173</f>
        <v>0</v>
      </c>
      <c r="BD173" s="76">
        <f>H173/(100-BE173)*100</f>
        <v>0</v>
      </c>
      <c r="BE173" s="76">
        <v>0</v>
      </c>
      <c r="BF173" s="76">
        <f>173</f>
        <v>173</v>
      </c>
      <c r="BH173" s="53">
        <f>G173*AO173</f>
        <v>0</v>
      </c>
      <c r="BI173" s="53">
        <f>G173*AP173</f>
        <v>0</v>
      </c>
      <c r="BJ173" s="53">
        <f>G173*H173</f>
        <v>0</v>
      </c>
    </row>
    <row r="174" spans="3:7" ht="12.75">
      <c r="C174" s="32" t="s">
        <v>49</v>
      </c>
      <c r="D174" s="42"/>
      <c r="E174" s="42"/>
      <c r="G174" s="52">
        <v>43</v>
      </c>
    </row>
    <row r="175" spans="3:7" ht="12.75">
      <c r="C175" s="32" t="s">
        <v>330</v>
      </c>
      <c r="D175" s="42"/>
      <c r="E175" s="42"/>
      <c r="G175" s="52">
        <v>0.43</v>
      </c>
    </row>
    <row r="176" spans="2:12" ht="12.75">
      <c r="B176" s="24" t="s">
        <v>88</v>
      </c>
      <c r="C176" s="33" t="s">
        <v>331</v>
      </c>
      <c r="D176" s="43"/>
      <c r="E176" s="43"/>
      <c r="F176" s="43"/>
      <c r="G176" s="43"/>
      <c r="H176" s="43"/>
      <c r="I176" s="43"/>
      <c r="J176" s="43"/>
      <c r="K176" s="43"/>
      <c r="L176" s="43"/>
    </row>
    <row r="177" spans="1:62" ht="12.75">
      <c r="A177" s="12" t="s">
        <v>65</v>
      </c>
      <c r="B177" s="12" t="s">
        <v>150</v>
      </c>
      <c r="C177" s="12" t="s">
        <v>332</v>
      </c>
      <c r="D177" s="45"/>
      <c r="E177" s="45"/>
      <c r="F177" s="12" t="s">
        <v>388</v>
      </c>
      <c r="G177" s="53">
        <v>274.72</v>
      </c>
      <c r="H177" s="53">
        <v>0</v>
      </c>
      <c r="I177" s="53">
        <f>G177*AO177</f>
        <v>0</v>
      </c>
      <c r="J177" s="53">
        <f>G177*AP177</f>
        <v>0</v>
      </c>
      <c r="K177" s="53">
        <f>G177*H177</f>
        <v>0</v>
      </c>
      <c r="L177" s="73" t="s">
        <v>407</v>
      </c>
      <c r="Z177" s="76">
        <f>IF(AQ177="5",BJ177,0)</f>
        <v>0</v>
      </c>
      <c r="AB177" s="76">
        <f>IF(AQ177="1",BH177,0)</f>
        <v>0</v>
      </c>
      <c r="AC177" s="76">
        <f>IF(AQ177="1",BI177,0)</f>
        <v>0</v>
      </c>
      <c r="AD177" s="76">
        <f>IF(AQ177="7",BH177,0)</f>
        <v>0</v>
      </c>
      <c r="AE177" s="76">
        <f>IF(AQ177="7",BI177,0)</f>
        <v>0</v>
      </c>
      <c r="AF177" s="76">
        <f>IF(AQ177="2",BH177,0)</f>
        <v>0</v>
      </c>
      <c r="AG177" s="76">
        <f>IF(AQ177="2",BI177,0)</f>
        <v>0</v>
      </c>
      <c r="AH177" s="76">
        <f>IF(AQ177="0",BJ177,0)</f>
        <v>0</v>
      </c>
      <c r="AI177" s="72"/>
      <c r="AJ177" s="53">
        <f>IF(AN177=0,K177,0)</f>
        <v>0</v>
      </c>
      <c r="AK177" s="53">
        <f>IF(AN177=15,K177,0)</f>
        <v>0</v>
      </c>
      <c r="AL177" s="53">
        <f>IF(AN177=21,K177,0)</f>
        <v>0</v>
      </c>
      <c r="AN177" s="76">
        <v>21</v>
      </c>
      <c r="AO177" s="76">
        <f>H177*1</f>
        <v>0</v>
      </c>
      <c r="AP177" s="76">
        <f>H177*(1-1)</f>
        <v>0</v>
      </c>
      <c r="AQ177" s="73" t="s">
        <v>7</v>
      </c>
      <c r="AV177" s="76">
        <f>AW177+AX177</f>
        <v>0</v>
      </c>
      <c r="AW177" s="76">
        <f>G177*AO177</f>
        <v>0</v>
      </c>
      <c r="AX177" s="76">
        <f>G177*AP177</f>
        <v>0</v>
      </c>
      <c r="AY177" s="77" t="s">
        <v>436</v>
      </c>
      <c r="AZ177" s="77" t="s">
        <v>443</v>
      </c>
      <c r="BA177" s="72" t="s">
        <v>445</v>
      </c>
      <c r="BC177" s="76">
        <f>AW177+AX177</f>
        <v>0</v>
      </c>
      <c r="BD177" s="76">
        <f>H177/(100-BE177)*100</f>
        <v>0</v>
      </c>
      <c r="BE177" s="76">
        <v>0</v>
      </c>
      <c r="BF177" s="76">
        <f>177</f>
        <v>177</v>
      </c>
      <c r="BH177" s="53">
        <f>G177*AO177</f>
        <v>0</v>
      </c>
      <c r="BI177" s="53">
        <f>G177*AP177</f>
        <v>0</v>
      </c>
      <c r="BJ177" s="53">
        <f>G177*H177</f>
        <v>0</v>
      </c>
    </row>
    <row r="178" spans="3:7" ht="12.75">
      <c r="C178" s="32" t="s">
        <v>333</v>
      </c>
      <c r="D178" s="42"/>
      <c r="E178" s="42"/>
      <c r="G178" s="52">
        <v>272</v>
      </c>
    </row>
    <row r="179" spans="3:7" ht="12.75">
      <c r="C179" s="32" t="s">
        <v>334</v>
      </c>
      <c r="D179" s="42"/>
      <c r="E179" s="42"/>
      <c r="G179" s="52">
        <v>2.72</v>
      </c>
    </row>
    <row r="180" spans="2:12" ht="12.75">
      <c r="B180" s="24" t="s">
        <v>88</v>
      </c>
      <c r="C180" s="33" t="s">
        <v>331</v>
      </c>
      <c r="D180" s="43"/>
      <c r="E180" s="43"/>
      <c r="F180" s="43"/>
      <c r="G180" s="43"/>
      <c r="H180" s="43"/>
      <c r="I180" s="43"/>
      <c r="J180" s="43"/>
      <c r="K180" s="43"/>
      <c r="L180" s="43"/>
    </row>
    <row r="181" spans="1:62" ht="12.75">
      <c r="A181" s="10" t="s">
        <v>66</v>
      </c>
      <c r="B181" s="10" t="s">
        <v>151</v>
      </c>
      <c r="C181" s="10" t="s">
        <v>335</v>
      </c>
      <c r="D181" s="41"/>
      <c r="E181" s="41"/>
      <c r="F181" s="10" t="s">
        <v>387</v>
      </c>
      <c r="G181" s="51">
        <v>4.76</v>
      </c>
      <c r="H181" s="51">
        <v>0</v>
      </c>
      <c r="I181" s="51">
        <f>G181*AO181</f>
        <v>0</v>
      </c>
      <c r="J181" s="51">
        <f>G181*AP181</f>
        <v>0</v>
      </c>
      <c r="K181" s="51">
        <f>G181*H181</f>
        <v>0</v>
      </c>
      <c r="L181" s="71" t="s">
        <v>407</v>
      </c>
      <c r="Z181" s="76">
        <f>IF(AQ181="5",BJ181,0)</f>
        <v>0</v>
      </c>
      <c r="AB181" s="76">
        <f>IF(AQ181="1",BH181,0)</f>
        <v>0</v>
      </c>
      <c r="AC181" s="76">
        <f>IF(AQ181="1",BI181,0)</f>
        <v>0</v>
      </c>
      <c r="AD181" s="76">
        <f>IF(AQ181="7",BH181,0)</f>
        <v>0</v>
      </c>
      <c r="AE181" s="76">
        <f>IF(AQ181="7",BI181,0)</f>
        <v>0</v>
      </c>
      <c r="AF181" s="76">
        <f>IF(AQ181="2",BH181,0)</f>
        <v>0</v>
      </c>
      <c r="AG181" s="76">
        <f>IF(AQ181="2",BI181,0)</f>
        <v>0</v>
      </c>
      <c r="AH181" s="76">
        <f>IF(AQ181="0",BJ181,0)</f>
        <v>0</v>
      </c>
      <c r="AI181" s="72"/>
      <c r="AJ181" s="51">
        <f>IF(AN181=0,K181,0)</f>
        <v>0</v>
      </c>
      <c r="AK181" s="51">
        <f>IF(AN181=15,K181,0)</f>
        <v>0</v>
      </c>
      <c r="AL181" s="51">
        <f>IF(AN181=21,K181,0)</f>
        <v>0</v>
      </c>
      <c r="AN181" s="76">
        <v>21</v>
      </c>
      <c r="AO181" s="76">
        <f>H181*0.793586776859504</f>
        <v>0</v>
      </c>
      <c r="AP181" s="76">
        <f>H181*(1-0.793586776859504)</f>
        <v>0</v>
      </c>
      <c r="AQ181" s="71" t="s">
        <v>7</v>
      </c>
      <c r="AV181" s="76">
        <f>AW181+AX181</f>
        <v>0</v>
      </c>
      <c r="AW181" s="76">
        <f>G181*AO181</f>
        <v>0</v>
      </c>
      <c r="AX181" s="76">
        <f>G181*AP181</f>
        <v>0</v>
      </c>
      <c r="AY181" s="77" t="s">
        <v>436</v>
      </c>
      <c r="AZ181" s="77" t="s">
        <v>443</v>
      </c>
      <c r="BA181" s="72" t="s">
        <v>445</v>
      </c>
      <c r="BC181" s="76">
        <f>AW181+AX181</f>
        <v>0</v>
      </c>
      <c r="BD181" s="76">
        <f>H181/(100-BE181)*100</f>
        <v>0</v>
      </c>
      <c r="BE181" s="76">
        <v>0</v>
      </c>
      <c r="BF181" s="76">
        <f>181</f>
        <v>181</v>
      </c>
      <c r="BH181" s="51">
        <f>G181*AO181</f>
        <v>0</v>
      </c>
      <c r="BI181" s="51">
        <f>G181*AP181</f>
        <v>0</v>
      </c>
      <c r="BJ181" s="51">
        <f>G181*H181</f>
        <v>0</v>
      </c>
    </row>
    <row r="182" spans="3:7" ht="12.75">
      <c r="C182" s="32" t="s">
        <v>336</v>
      </c>
      <c r="D182" s="42"/>
      <c r="E182" s="42"/>
      <c r="G182" s="52">
        <v>4.76</v>
      </c>
    </row>
    <row r="183" spans="1:62" ht="12.75">
      <c r="A183" s="10" t="s">
        <v>67</v>
      </c>
      <c r="B183" s="10" t="s">
        <v>152</v>
      </c>
      <c r="C183" s="10" t="s">
        <v>337</v>
      </c>
      <c r="D183" s="41"/>
      <c r="E183" s="41"/>
      <c r="F183" s="10" t="s">
        <v>386</v>
      </c>
      <c r="G183" s="51">
        <v>291</v>
      </c>
      <c r="H183" s="51">
        <v>0</v>
      </c>
      <c r="I183" s="51">
        <f>G183*AO183</f>
        <v>0</v>
      </c>
      <c r="J183" s="51">
        <f>G183*AP183</f>
        <v>0</v>
      </c>
      <c r="K183" s="51">
        <f>G183*H183</f>
        <v>0</v>
      </c>
      <c r="L183" s="71" t="s">
        <v>407</v>
      </c>
      <c r="Z183" s="76">
        <f>IF(AQ183="5",BJ183,0)</f>
        <v>0</v>
      </c>
      <c r="AB183" s="76">
        <f>IF(AQ183="1",BH183,0)</f>
        <v>0</v>
      </c>
      <c r="AC183" s="76">
        <f>IF(AQ183="1",BI183,0)</f>
        <v>0</v>
      </c>
      <c r="AD183" s="76">
        <f>IF(AQ183="7",BH183,0)</f>
        <v>0</v>
      </c>
      <c r="AE183" s="76">
        <f>IF(AQ183="7",BI183,0)</f>
        <v>0</v>
      </c>
      <c r="AF183" s="76">
        <f>IF(AQ183="2",BH183,0)</f>
        <v>0</v>
      </c>
      <c r="AG183" s="76">
        <f>IF(AQ183="2",BI183,0)</f>
        <v>0</v>
      </c>
      <c r="AH183" s="76">
        <f>IF(AQ183="0",BJ183,0)</f>
        <v>0</v>
      </c>
      <c r="AI183" s="72"/>
      <c r="AJ183" s="51">
        <f>IF(AN183=0,K183,0)</f>
        <v>0</v>
      </c>
      <c r="AK183" s="51">
        <f>IF(AN183=15,K183,0)</f>
        <v>0</v>
      </c>
      <c r="AL183" s="51">
        <f>IF(AN183=21,K183,0)</f>
        <v>0</v>
      </c>
      <c r="AN183" s="76">
        <v>21</v>
      </c>
      <c r="AO183" s="76">
        <f>H183*0.607557603686636</f>
        <v>0</v>
      </c>
      <c r="AP183" s="76">
        <f>H183*(1-0.607557603686636)</f>
        <v>0</v>
      </c>
      <c r="AQ183" s="71" t="s">
        <v>7</v>
      </c>
      <c r="AV183" s="76">
        <f>AW183+AX183</f>
        <v>0</v>
      </c>
      <c r="AW183" s="76">
        <f>G183*AO183</f>
        <v>0</v>
      </c>
      <c r="AX183" s="76">
        <f>G183*AP183</f>
        <v>0</v>
      </c>
      <c r="AY183" s="77" t="s">
        <v>436</v>
      </c>
      <c r="AZ183" s="77" t="s">
        <v>443</v>
      </c>
      <c r="BA183" s="72" t="s">
        <v>445</v>
      </c>
      <c r="BC183" s="76">
        <f>AW183+AX183</f>
        <v>0</v>
      </c>
      <c r="BD183" s="76">
        <f>H183/(100-BE183)*100</f>
        <v>0</v>
      </c>
      <c r="BE183" s="76">
        <v>0</v>
      </c>
      <c r="BF183" s="76">
        <f>183</f>
        <v>183</v>
      </c>
      <c r="BH183" s="51">
        <f>G183*AO183</f>
        <v>0</v>
      </c>
      <c r="BI183" s="51">
        <f>G183*AP183</f>
        <v>0</v>
      </c>
      <c r="BJ183" s="51">
        <f>G183*H183</f>
        <v>0</v>
      </c>
    </row>
    <row r="184" spans="2:12" ht="12.75">
      <c r="B184" s="24" t="s">
        <v>88</v>
      </c>
      <c r="C184" s="33" t="s">
        <v>338</v>
      </c>
      <c r="D184" s="43"/>
      <c r="E184" s="43"/>
      <c r="F184" s="43"/>
      <c r="G184" s="43"/>
      <c r="H184" s="43"/>
      <c r="I184" s="43"/>
      <c r="J184" s="43"/>
      <c r="K184" s="43"/>
      <c r="L184" s="43"/>
    </row>
    <row r="185" spans="1:62" ht="12.75">
      <c r="A185" s="10" t="s">
        <v>68</v>
      </c>
      <c r="B185" s="10" t="s">
        <v>153</v>
      </c>
      <c r="C185" s="10" t="s">
        <v>339</v>
      </c>
      <c r="D185" s="41"/>
      <c r="E185" s="41"/>
      <c r="F185" s="10" t="s">
        <v>388</v>
      </c>
      <c r="G185" s="51">
        <v>1</v>
      </c>
      <c r="H185" s="51">
        <v>0</v>
      </c>
      <c r="I185" s="51">
        <f>G185*AO185</f>
        <v>0</v>
      </c>
      <c r="J185" s="51">
        <f>G185*AP185</f>
        <v>0</v>
      </c>
      <c r="K185" s="51">
        <f>G185*H185</f>
        <v>0</v>
      </c>
      <c r="L185" s="71" t="s">
        <v>407</v>
      </c>
      <c r="Z185" s="76">
        <f>IF(AQ185="5",BJ185,0)</f>
        <v>0</v>
      </c>
      <c r="AB185" s="76">
        <f>IF(AQ185="1",BH185,0)</f>
        <v>0</v>
      </c>
      <c r="AC185" s="76">
        <f>IF(AQ185="1",BI185,0)</f>
        <v>0</v>
      </c>
      <c r="AD185" s="76">
        <f>IF(AQ185="7",BH185,0)</f>
        <v>0</v>
      </c>
      <c r="AE185" s="76">
        <f>IF(AQ185="7",BI185,0)</f>
        <v>0</v>
      </c>
      <c r="AF185" s="76">
        <f>IF(AQ185="2",BH185,0)</f>
        <v>0</v>
      </c>
      <c r="AG185" s="76">
        <f>IF(AQ185="2",BI185,0)</f>
        <v>0</v>
      </c>
      <c r="AH185" s="76">
        <f>IF(AQ185="0",BJ185,0)</f>
        <v>0</v>
      </c>
      <c r="AI185" s="72"/>
      <c r="AJ185" s="51">
        <f>IF(AN185=0,K185,0)</f>
        <v>0</v>
      </c>
      <c r="AK185" s="51">
        <f>IF(AN185=15,K185,0)</f>
        <v>0</v>
      </c>
      <c r="AL185" s="51">
        <f>IF(AN185=21,K185,0)</f>
        <v>0</v>
      </c>
      <c r="AN185" s="76">
        <v>21</v>
      </c>
      <c r="AO185" s="76">
        <f>H185*0.644306487695749</f>
        <v>0</v>
      </c>
      <c r="AP185" s="76">
        <f>H185*(1-0.644306487695749)</f>
        <v>0</v>
      </c>
      <c r="AQ185" s="71" t="s">
        <v>7</v>
      </c>
      <c r="AV185" s="76">
        <f>AW185+AX185</f>
        <v>0</v>
      </c>
      <c r="AW185" s="76">
        <f>G185*AO185</f>
        <v>0</v>
      </c>
      <c r="AX185" s="76">
        <f>G185*AP185</f>
        <v>0</v>
      </c>
      <c r="AY185" s="77" t="s">
        <v>436</v>
      </c>
      <c r="AZ185" s="77" t="s">
        <v>443</v>
      </c>
      <c r="BA185" s="72" t="s">
        <v>445</v>
      </c>
      <c r="BC185" s="76">
        <f>AW185+AX185</f>
        <v>0</v>
      </c>
      <c r="BD185" s="76">
        <f>H185/(100-BE185)*100</f>
        <v>0</v>
      </c>
      <c r="BE185" s="76">
        <v>0</v>
      </c>
      <c r="BF185" s="76">
        <f>185</f>
        <v>185</v>
      </c>
      <c r="BH185" s="51">
        <f>G185*AO185</f>
        <v>0</v>
      </c>
      <c r="BI185" s="51">
        <f>G185*AP185</f>
        <v>0</v>
      </c>
      <c r="BJ185" s="51">
        <f>G185*H185</f>
        <v>0</v>
      </c>
    </row>
    <row r="186" spans="2:12" ht="25.5" customHeight="1">
      <c r="B186" s="24" t="s">
        <v>88</v>
      </c>
      <c r="C186" s="33" t="s">
        <v>340</v>
      </c>
      <c r="D186" s="43"/>
      <c r="E186" s="43"/>
      <c r="F186" s="43"/>
      <c r="G186" s="43"/>
      <c r="H186" s="43"/>
      <c r="I186" s="43"/>
      <c r="J186" s="43"/>
      <c r="K186" s="43"/>
      <c r="L186" s="43"/>
    </row>
    <row r="187" spans="1:62" ht="12.75">
      <c r="A187" s="10" t="s">
        <v>69</v>
      </c>
      <c r="B187" s="10" t="s">
        <v>154</v>
      </c>
      <c r="C187" s="10" t="s">
        <v>341</v>
      </c>
      <c r="D187" s="41"/>
      <c r="E187" s="41"/>
      <c r="F187" s="10" t="s">
        <v>388</v>
      </c>
      <c r="G187" s="51">
        <v>2</v>
      </c>
      <c r="H187" s="51">
        <v>0</v>
      </c>
      <c r="I187" s="51">
        <f>G187*AO187</f>
        <v>0</v>
      </c>
      <c r="J187" s="51">
        <f>G187*AP187</f>
        <v>0</v>
      </c>
      <c r="K187" s="51">
        <f>G187*H187</f>
        <v>0</v>
      </c>
      <c r="L187" s="71" t="s">
        <v>407</v>
      </c>
      <c r="Z187" s="76">
        <f>IF(AQ187="5",BJ187,0)</f>
        <v>0</v>
      </c>
      <c r="AB187" s="76">
        <f>IF(AQ187="1",BH187,0)</f>
        <v>0</v>
      </c>
      <c r="AC187" s="76">
        <f>IF(AQ187="1",BI187,0)</f>
        <v>0</v>
      </c>
      <c r="AD187" s="76">
        <f>IF(AQ187="7",BH187,0)</f>
        <v>0</v>
      </c>
      <c r="AE187" s="76">
        <f>IF(AQ187="7",BI187,0)</f>
        <v>0</v>
      </c>
      <c r="AF187" s="76">
        <f>IF(AQ187="2",BH187,0)</f>
        <v>0</v>
      </c>
      <c r="AG187" s="76">
        <f>IF(AQ187="2",BI187,0)</f>
        <v>0</v>
      </c>
      <c r="AH187" s="76">
        <f>IF(AQ187="0",BJ187,0)</f>
        <v>0</v>
      </c>
      <c r="AI187" s="72"/>
      <c r="AJ187" s="51">
        <f>IF(AN187=0,K187,0)</f>
        <v>0</v>
      </c>
      <c r="AK187" s="51">
        <f>IF(AN187=15,K187,0)</f>
        <v>0</v>
      </c>
      <c r="AL187" s="51">
        <f>IF(AN187=21,K187,0)</f>
        <v>0</v>
      </c>
      <c r="AN187" s="76">
        <v>21</v>
      </c>
      <c r="AO187" s="76">
        <f>H187*0.622452316076294</f>
        <v>0</v>
      </c>
      <c r="AP187" s="76">
        <f>H187*(1-0.622452316076294)</f>
        <v>0</v>
      </c>
      <c r="AQ187" s="71" t="s">
        <v>7</v>
      </c>
      <c r="AV187" s="76">
        <f>AW187+AX187</f>
        <v>0</v>
      </c>
      <c r="AW187" s="76">
        <f>G187*AO187</f>
        <v>0</v>
      </c>
      <c r="AX187" s="76">
        <f>G187*AP187</f>
        <v>0</v>
      </c>
      <c r="AY187" s="77" t="s">
        <v>436</v>
      </c>
      <c r="AZ187" s="77" t="s">
        <v>443</v>
      </c>
      <c r="BA187" s="72" t="s">
        <v>445</v>
      </c>
      <c r="BC187" s="76">
        <f>AW187+AX187</f>
        <v>0</v>
      </c>
      <c r="BD187" s="76">
        <f>H187/(100-BE187)*100</f>
        <v>0</v>
      </c>
      <c r="BE187" s="76">
        <v>0</v>
      </c>
      <c r="BF187" s="76">
        <f>187</f>
        <v>187</v>
      </c>
      <c r="BH187" s="51">
        <f>G187*AO187</f>
        <v>0</v>
      </c>
      <c r="BI187" s="51">
        <f>G187*AP187</f>
        <v>0</v>
      </c>
      <c r="BJ187" s="51">
        <f>G187*H187</f>
        <v>0</v>
      </c>
    </row>
    <row r="188" spans="2:12" ht="12.75">
      <c r="B188" s="24" t="s">
        <v>88</v>
      </c>
      <c r="C188" s="33" t="s">
        <v>342</v>
      </c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1:62" ht="12.75">
      <c r="A189" s="12" t="s">
        <v>70</v>
      </c>
      <c r="B189" s="12" t="s">
        <v>155</v>
      </c>
      <c r="C189" s="12" t="s">
        <v>343</v>
      </c>
      <c r="D189" s="45"/>
      <c r="E189" s="45"/>
      <c r="F189" s="12" t="s">
        <v>388</v>
      </c>
      <c r="G189" s="53">
        <v>1</v>
      </c>
      <c r="H189" s="53">
        <v>0</v>
      </c>
      <c r="I189" s="53">
        <f>G189*AO189</f>
        <v>0</v>
      </c>
      <c r="J189" s="53">
        <f>G189*AP189</f>
        <v>0</v>
      </c>
      <c r="K189" s="53">
        <f>G189*H189</f>
        <v>0</v>
      </c>
      <c r="L189" s="73" t="s">
        <v>407</v>
      </c>
      <c r="Z189" s="76">
        <f>IF(AQ189="5",BJ189,0)</f>
        <v>0</v>
      </c>
      <c r="AB189" s="76">
        <f>IF(AQ189="1",BH189,0)</f>
        <v>0</v>
      </c>
      <c r="AC189" s="76">
        <f>IF(AQ189="1",BI189,0)</f>
        <v>0</v>
      </c>
      <c r="AD189" s="76">
        <f>IF(AQ189="7",BH189,0)</f>
        <v>0</v>
      </c>
      <c r="AE189" s="76">
        <f>IF(AQ189="7",BI189,0)</f>
        <v>0</v>
      </c>
      <c r="AF189" s="76">
        <f>IF(AQ189="2",BH189,0)</f>
        <v>0</v>
      </c>
      <c r="AG189" s="76">
        <f>IF(AQ189="2",BI189,0)</f>
        <v>0</v>
      </c>
      <c r="AH189" s="76">
        <f>IF(AQ189="0",BJ189,0)</f>
        <v>0</v>
      </c>
      <c r="AI189" s="72"/>
      <c r="AJ189" s="53">
        <f>IF(AN189=0,K189,0)</f>
        <v>0</v>
      </c>
      <c r="AK189" s="53">
        <f>IF(AN189=15,K189,0)</f>
        <v>0</v>
      </c>
      <c r="AL189" s="53">
        <f>IF(AN189=21,K189,0)</f>
        <v>0</v>
      </c>
      <c r="AN189" s="76">
        <v>21</v>
      </c>
      <c r="AO189" s="76">
        <f>H189*1</f>
        <v>0</v>
      </c>
      <c r="AP189" s="76">
        <f>H189*(1-1)</f>
        <v>0</v>
      </c>
      <c r="AQ189" s="73" t="s">
        <v>7</v>
      </c>
      <c r="AV189" s="76">
        <f>AW189+AX189</f>
        <v>0</v>
      </c>
      <c r="AW189" s="76">
        <f>G189*AO189</f>
        <v>0</v>
      </c>
      <c r="AX189" s="76">
        <f>G189*AP189</f>
        <v>0</v>
      </c>
      <c r="AY189" s="77" t="s">
        <v>436</v>
      </c>
      <c r="AZ189" s="77" t="s">
        <v>443</v>
      </c>
      <c r="BA189" s="72" t="s">
        <v>445</v>
      </c>
      <c r="BC189" s="76">
        <f>AW189+AX189</f>
        <v>0</v>
      </c>
      <c r="BD189" s="76">
        <f>H189/(100-BE189)*100</f>
        <v>0</v>
      </c>
      <c r="BE189" s="76">
        <v>0</v>
      </c>
      <c r="BF189" s="76">
        <f>189</f>
        <v>189</v>
      </c>
      <c r="BH189" s="53">
        <f>G189*AO189</f>
        <v>0</v>
      </c>
      <c r="BI189" s="53">
        <f>G189*AP189</f>
        <v>0</v>
      </c>
      <c r="BJ189" s="53">
        <f>G189*H189</f>
        <v>0</v>
      </c>
    </row>
    <row r="190" spans="2:12" ht="38.25" customHeight="1">
      <c r="B190" s="24" t="s">
        <v>88</v>
      </c>
      <c r="C190" s="33" t="s">
        <v>344</v>
      </c>
      <c r="D190" s="43"/>
      <c r="E190" s="43"/>
      <c r="F190" s="43"/>
      <c r="G190" s="43"/>
      <c r="H190" s="43"/>
      <c r="I190" s="43"/>
      <c r="J190" s="43"/>
      <c r="K190" s="43"/>
      <c r="L190" s="43"/>
    </row>
    <row r="191" spans="1:62" ht="12.75">
      <c r="A191" s="12" t="s">
        <v>71</v>
      </c>
      <c r="B191" s="12" t="s">
        <v>156</v>
      </c>
      <c r="C191" s="12" t="s">
        <v>345</v>
      </c>
      <c r="D191" s="45"/>
      <c r="E191" s="45"/>
      <c r="F191" s="12" t="s">
        <v>388</v>
      </c>
      <c r="G191" s="53">
        <v>1</v>
      </c>
      <c r="H191" s="53">
        <v>0</v>
      </c>
      <c r="I191" s="53">
        <f>G191*AO191</f>
        <v>0</v>
      </c>
      <c r="J191" s="53">
        <f>G191*AP191</f>
        <v>0</v>
      </c>
      <c r="K191" s="53">
        <f>G191*H191</f>
        <v>0</v>
      </c>
      <c r="L191" s="73" t="s">
        <v>407</v>
      </c>
      <c r="Z191" s="76">
        <f>IF(AQ191="5",BJ191,0)</f>
        <v>0</v>
      </c>
      <c r="AB191" s="76">
        <f>IF(AQ191="1",BH191,0)</f>
        <v>0</v>
      </c>
      <c r="AC191" s="76">
        <f>IF(AQ191="1",BI191,0)</f>
        <v>0</v>
      </c>
      <c r="AD191" s="76">
        <f>IF(AQ191="7",BH191,0)</f>
        <v>0</v>
      </c>
      <c r="AE191" s="76">
        <f>IF(AQ191="7",BI191,0)</f>
        <v>0</v>
      </c>
      <c r="AF191" s="76">
        <f>IF(AQ191="2",BH191,0)</f>
        <v>0</v>
      </c>
      <c r="AG191" s="76">
        <f>IF(AQ191="2",BI191,0)</f>
        <v>0</v>
      </c>
      <c r="AH191" s="76">
        <f>IF(AQ191="0",BJ191,0)</f>
        <v>0</v>
      </c>
      <c r="AI191" s="72"/>
      <c r="AJ191" s="53">
        <f>IF(AN191=0,K191,0)</f>
        <v>0</v>
      </c>
      <c r="AK191" s="53">
        <f>IF(AN191=15,K191,0)</f>
        <v>0</v>
      </c>
      <c r="AL191" s="53">
        <f>IF(AN191=21,K191,0)</f>
        <v>0</v>
      </c>
      <c r="AN191" s="76">
        <v>21</v>
      </c>
      <c r="AO191" s="76">
        <f>H191*1</f>
        <v>0</v>
      </c>
      <c r="AP191" s="76">
        <f>H191*(1-1)</f>
        <v>0</v>
      </c>
      <c r="AQ191" s="73" t="s">
        <v>7</v>
      </c>
      <c r="AV191" s="76">
        <f>AW191+AX191</f>
        <v>0</v>
      </c>
      <c r="AW191" s="76">
        <f>G191*AO191</f>
        <v>0</v>
      </c>
      <c r="AX191" s="76">
        <f>G191*AP191</f>
        <v>0</v>
      </c>
      <c r="AY191" s="77" t="s">
        <v>436</v>
      </c>
      <c r="AZ191" s="77" t="s">
        <v>443</v>
      </c>
      <c r="BA191" s="72" t="s">
        <v>445</v>
      </c>
      <c r="BC191" s="76">
        <f>AW191+AX191</f>
        <v>0</v>
      </c>
      <c r="BD191" s="76">
        <f>H191/(100-BE191)*100</f>
        <v>0</v>
      </c>
      <c r="BE191" s="76">
        <v>0</v>
      </c>
      <c r="BF191" s="76">
        <f>191</f>
        <v>191</v>
      </c>
      <c r="BH191" s="53">
        <f>G191*AO191</f>
        <v>0</v>
      </c>
      <c r="BI191" s="53">
        <f>G191*AP191</f>
        <v>0</v>
      </c>
      <c r="BJ191" s="53">
        <f>G191*H191</f>
        <v>0</v>
      </c>
    </row>
    <row r="192" spans="2:12" ht="25.5" customHeight="1">
      <c r="B192" s="24" t="s">
        <v>88</v>
      </c>
      <c r="C192" s="33" t="s">
        <v>346</v>
      </c>
      <c r="D192" s="43"/>
      <c r="E192" s="43"/>
      <c r="F192" s="43"/>
      <c r="G192" s="43"/>
      <c r="H192" s="43"/>
      <c r="I192" s="43"/>
      <c r="J192" s="43"/>
      <c r="K192" s="43"/>
      <c r="L192" s="43"/>
    </row>
    <row r="193" spans="1:62" ht="12.75">
      <c r="A193" s="10" t="s">
        <v>72</v>
      </c>
      <c r="B193" s="10" t="s">
        <v>157</v>
      </c>
      <c r="C193" s="10" t="s">
        <v>347</v>
      </c>
      <c r="D193" s="41"/>
      <c r="E193" s="41"/>
      <c r="F193" s="10" t="s">
        <v>386</v>
      </c>
      <c r="G193" s="51">
        <v>65</v>
      </c>
      <c r="H193" s="51">
        <v>0</v>
      </c>
      <c r="I193" s="51">
        <f>G193*AO193</f>
        <v>0</v>
      </c>
      <c r="J193" s="51">
        <f>G193*AP193</f>
        <v>0</v>
      </c>
      <c r="K193" s="51">
        <f>G193*H193</f>
        <v>0</v>
      </c>
      <c r="L193" s="71" t="s">
        <v>407</v>
      </c>
      <c r="Z193" s="76">
        <f>IF(AQ193="5",BJ193,0)</f>
        <v>0</v>
      </c>
      <c r="AB193" s="76">
        <f>IF(AQ193="1",BH193,0)</f>
        <v>0</v>
      </c>
      <c r="AC193" s="76">
        <f>IF(AQ193="1",BI193,0)</f>
        <v>0</v>
      </c>
      <c r="AD193" s="76">
        <f>IF(AQ193="7",BH193,0)</f>
        <v>0</v>
      </c>
      <c r="AE193" s="76">
        <f>IF(AQ193="7",BI193,0)</f>
        <v>0</v>
      </c>
      <c r="AF193" s="76">
        <f>IF(AQ193="2",BH193,0)</f>
        <v>0</v>
      </c>
      <c r="AG193" s="76">
        <f>IF(AQ193="2",BI193,0)</f>
        <v>0</v>
      </c>
      <c r="AH193" s="76">
        <f>IF(AQ193="0",BJ193,0)</f>
        <v>0</v>
      </c>
      <c r="AI193" s="72"/>
      <c r="AJ193" s="51">
        <f>IF(AN193=0,K193,0)</f>
        <v>0</v>
      </c>
      <c r="AK193" s="51">
        <f>IF(AN193=15,K193,0)</f>
        <v>0</v>
      </c>
      <c r="AL193" s="51">
        <f>IF(AN193=21,K193,0)</f>
        <v>0</v>
      </c>
      <c r="AN193" s="76">
        <v>21</v>
      </c>
      <c r="AO193" s="76">
        <f>H193*0.643171806167401</f>
        <v>0</v>
      </c>
      <c r="AP193" s="76">
        <f>H193*(1-0.643171806167401)</f>
        <v>0</v>
      </c>
      <c r="AQ193" s="71" t="s">
        <v>7</v>
      </c>
      <c r="AV193" s="76">
        <f>AW193+AX193</f>
        <v>0</v>
      </c>
      <c r="AW193" s="76">
        <f>G193*AO193</f>
        <v>0</v>
      </c>
      <c r="AX193" s="76">
        <f>G193*AP193</f>
        <v>0</v>
      </c>
      <c r="AY193" s="77" t="s">
        <v>436</v>
      </c>
      <c r="AZ193" s="77" t="s">
        <v>443</v>
      </c>
      <c r="BA193" s="72" t="s">
        <v>445</v>
      </c>
      <c r="BC193" s="76">
        <f>AW193+AX193</f>
        <v>0</v>
      </c>
      <c r="BD193" s="76">
        <f>H193/(100-BE193)*100</f>
        <v>0</v>
      </c>
      <c r="BE193" s="76">
        <v>0</v>
      </c>
      <c r="BF193" s="76">
        <f>193</f>
        <v>193</v>
      </c>
      <c r="BH193" s="51">
        <f>G193*AO193</f>
        <v>0</v>
      </c>
      <c r="BI193" s="51">
        <f>G193*AP193</f>
        <v>0</v>
      </c>
      <c r="BJ193" s="51">
        <f>G193*H193</f>
        <v>0</v>
      </c>
    </row>
    <row r="194" spans="3:7" ht="12.75">
      <c r="C194" s="32" t="s">
        <v>348</v>
      </c>
      <c r="D194" s="42"/>
      <c r="E194" s="42"/>
      <c r="G194" s="52">
        <v>65</v>
      </c>
    </row>
    <row r="195" spans="1:62" ht="12.75">
      <c r="A195" s="10" t="s">
        <v>73</v>
      </c>
      <c r="B195" s="10" t="s">
        <v>158</v>
      </c>
      <c r="C195" s="10" t="s">
        <v>349</v>
      </c>
      <c r="D195" s="41"/>
      <c r="E195" s="41"/>
      <c r="F195" s="10" t="s">
        <v>385</v>
      </c>
      <c r="G195" s="51">
        <v>1</v>
      </c>
      <c r="H195" s="51">
        <v>0</v>
      </c>
      <c r="I195" s="51">
        <f>G195*AO195</f>
        <v>0</v>
      </c>
      <c r="J195" s="51">
        <f>G195*AP195</f>
        <v>0</v>
      </c>
      <c r="K195" s="51">
        <f>G195*H195</f>
        <v>0</v>
      </c>
      <c r="L195" s="71" t="s">
        <v>407</v>
      </c>
      <c r="Z195" s="76">
        <f>IF(AQ195="5",BJ195,0)</f>
        <v>0</v>
      </c>
      <c r="AB195" s="76">
        <f>IF(AQ195="1",BH195,0)</f>
        <v>0</v>
      </c>
      <c r="AC195" s="76">
        <f>IF(AQ195="1",BI195,0)</f>
        <v>0</v>
      </c>
      <c r="AD195" s="76">
        <f>IF(AQ195="7",BH195,0)</f>
        <v>0</v>
      </c>
      <c r="AE195" s="76">
        <f>IF(AQ195="7",BI195,0)</f>
        <v>0</v>
      </c>
      <c r="AF195" s="76">
        <f>IF(AQ195="2",BH195,0)</f>
        <v>0</v>
      </c>
      <c r="AG195" s="76">
        <f>IF(AQ195="2",BI195,0)</f>
        <v>0</v>
      </c>
      <c r="AH195" s="76">
        <f>IF(AQ195="0",BJ195,0)</f>
        <v>0</v>
      </c>
      <c r="AI195" s="72"/>
      <c r="AJ195" s="51">
        <f>IF(AN195=0,K195,0)</f>
        <v>0</v>
      </c>
      <c r="AK195" s="51">
        <f>IF(AN195=15,K195,0)</f>
        <v>0</v>
      </c>
      <c r="AL195" s="51">
        <f>IF(AN195=21,K195,0)</f>
        <v>0</v>
      </c>
      <c r="AN195" s="76">
        <v>21</v>
      </c>
      <c r="AO195" s="76">
        <f>H195*0.391073094867807</f>
        <v>0</v>
      </c>
      <c r="AP195" s="76">
        <f>H195*(1-0.391073094867807)</f>
        <v>0</v>
      </c>
      <c r="AQ195" s="71" t="s">
        <v>7</v>
      </c>
      <c r="AV195" s="76">
        <f>AW195+AX195</f>
        <v>0</v>
      </c>
      <c r="AW195" s="76">
        <f>G195*AO195</f>
        <v>0</v>
      </c>
      <c r="AX195" s="76">
        <f>G195*AP195</f>
        <v>0</v>
      </c>
      <c r="AY195" s="77" t="s">
        <v>436</v>
      </c>
      <c r="AZ195" s="77" t="s">
        <v>443</v>
      </c>
      <c r="BA195" s="72" t="s">
        <v>445</v>
      </c>
      <c r="BC195" s="76">
        <f>AW195+AX195</f>
        <v>0</v>
      </c>
      <c r="BD195" s="76">
        <f>H195/(100-BE195)*100</f>
        <v>0</v>
      </c>
      <c r="BE195" s="76">
        <v>0</v>
      </c>
      <c r="BF195" s="76">
        <f>195</f>
        <v>195</v>
      </c>
      <c r="BH195" s="51">
        <f>G195*AO195</f>
        <v>0</v>
      </c>
      <c r="BI195" s="51">
        <f>G195*AP195</f>
        <v>0</v>
      </c>
      <c r="BJ195" s="51">
        <f>G195*H195</f>
        <v>0</v>
      </c>
    </row>
    <row r="196" spans="3:7" ht="12.75">
      <c r="C196" s="32" t="s">
        <v>350</v>
      </c>
      <c r="D196" s="42"/>
      <c r="E196" s="42"/>
      <c r="G196" s="52">
        <v>1</v>
      </c>
    </row>
    <row r="197" spans="1:47" ht="12.75">
      <c r="A197" s="11"/>
      <c r="B197" s="25" t="s">
        <v>159</v>
      </c>
      <c r="C197" s="25" t="s">
        <v>351</v>
      </c>
      <c r="D197" s="44"/>
      <c r="E197" s="44"/>
      <c r="F197" s="11" t="s">
        <v>6</v>
      </c>
      <c r="G197" s="11" t="s">
        <v>6</v>
      </c>
      <c r="H197" s="11" t="s">
        <v>6</v>
      </c>
      <c r="I197" s="79">
        <f>SUM(I198:I198)</f>
        <v>0</v>
      </c>
      <c r="J197" s="79">
        <f>SUM(J198:J198)</f>
        <v>0</v>
      </c>
      <c r="K197" s="79">
        <f>SUM(K198:K198)</f>
        <v>0</v>
      </c>
      <c r="L197" s="72"/>
      <c r="AI197" s="72"/>
      <c r="AS197" s="79">
        <f>SUM(AJ198:AJ198)</f>
        <v>0</v>
      </c>
      <c r="AT197" s="79">
        <f>SUM(AK198:AK198)</f>
        <v>0</v>
      </c>
      <c r="AU197" s="79">
        <f>SUM(AL198:AL198)</f>
        <v>0</v>
      </c>
    </row>
    <row r="198" spans="1:62" ht="12.75">
      <c r="A198" s="10" t="s">
        <v>74</v>
      </c>
      <c r="B198" s="10" t="s">
        <v>160</v>
      </c>
      <c r="C198" s="10" t="s">
        <v>352</v>
      </c>
      <c r="D198" s="41"/>
      <c r="E198" s="41"/>
      <c r="F198" s="10" t="s">
        <v>388</v>
      </c>
      <c r="G198" s="51">
        <v>2</v>
      </c>
      <c r="H198" s="51">
        <v>0</v>
      </c>
      <c r="I198" s="51">
        <f>G198*AO198</f>
        <v>0</v>
      </c>
      <c r="J198" s="51">
        <f>G198*AP198</f>
        <v>0</v>
      </c>
      <c r="K198" s="51">
        <f>G198*H198</f>
        <v>0</v>
      </c>
      <c r="L198" s="71"/>
      <c r="Z198" s="76">
        <f>IF(AQ198="5",BJ198,0)</f>
        <v>0</v>
      </c>
      <c r="AB198" s="76">
        <f>IF(AQ198="1",BH198,0)</f>
        <v>0</v>
      </c>
      <c r="AC198" s="76">
        <f>IF(AQ198="1",BI198,0)</f>
        <v>0</v>
      </c>
      <c r="AD198" s="76">
        <f>IF(AQ198="7",BH198,0)</f>
        <v>0</v>
      </c>
      <c r="AE198" s="76">
        <f>IF(AQ198="7",BI198,0)</f>
        <v>0</v>
      </c>
      <c r="AF198" s="76">
        <f>IF(AQ198="2",BH198,0)</f>
        <v>0</v>
      </c>
      <c r="AG198" s="76">
        <f>IF(AQ198="2",BI198,0)</f>
        <v>0</v>
      </c>
      <c r="AH198" s="76">
        <f>IF(AQ198="0",BJ198,0)</f>
        <v>0</v>
      </c>
      <c r="AI198" s="72"/>
      <c r="AJ198" s="51">
        <f>IF(AN198=0,K198,0)</f>
        <v>0</v>
      </c>
      <c r="AK198" s="51">
        <f>IF(AN198=15,K198,0)</f>
        <v>0</v>
      </c>
      <c r="AL198" s="51">
        <f>IF(AN198=21,K198,0)</f>
        <v>0</v>
      </c>
      <c r="AN198" s="76">
        <v>21</v>
      </c>
      <c r="AO198" s="76">
        <f>H198*0</f>
        <v>0</v>
      </c>
      <c r="AP198" s="76">
        <f>H198*(1-0)</f>
        <v>0</v>
      </c>
      <c r="AQ198" s="71" t="s">
        <v>7</v>
      </c>
      <c r="AV198" s="76">
        <f>AW198+AX198</f>
        <v>0</v>
      </c>
      <c r="AW198" s="76">
        <f>G198*AO198</f>
        <v>0</v>
      </c>
      <c r="AX198" s="76">
        <f>G198*AP198</f>
        <v>0</v>
      </c>
      <c r="AY198" s="77" t="s">
        <v>437</v>
      </c>
      <c r="AZ198" s="77" t="s">
        <v>443</v>
      </c>
      <c r="BA198" s="72" t="s">
        <v>445</v>
      </c>
      <c r="BC198" s="76">
        <f>AW198+AX198</f>
        <v>0</v>
      </c>
      <c r="BD198" s="76">
        <f>H198/(100-BE198)*100</f>
        <v>0</v>
      </c>
      <c r="BE198" s="76">
        <v>0</v>
      </c>
      <c r="BF198" s="76">
        <f>198</f>
        <v>198</v>
      </c>
      <c r="BH198" s="51">
        <f>G198*AO198</f>
        <v>0</v>
      </c>
      <c r="BI198" s="51">
        <f>G198*AP198</f>
        <v>0</v>
      </c>
      <c r="BJ198" s="51">
        <f>G198*H198</f>
        <v>0</v>
      </c>
    </row>
    <row r="199" spans="1:47" ht="12.75">
      <c r="A199" s="11"/>
      <c r="B199" s="25" t="s">
        <v>161</v>
      </c>
      <c r="C199" s="25" t="s">
        <v>353</v>
      </c>
      <c r="D199" s="44"/>
      <c r="E199" s="44"/>
      <c r="F199" s="11" t="s">
        <v>6</v>
      </c>
      <c r="G199" s="11" t="s">
        <v>6</v>
      </c>
      <c r="H199" s="11" t="s">
        <v>6</v>
      </c>
      <c r="I199" s="79">
        <f>SUM(I200:I214)</f>
        <v>0</v>
      </c>
      <c r="J199" s="79">
        <f>SUM(J200:J214)</f>
        <v>0</v>
      </c>
      <c r="K199" s="79">
        <f>SUM(K200:K214)</f>
        <v>0</v>
      </c>
      <c r="L199" s="72"/>
      <c r="AI199" s="72"/>
      <c r="AS199" s="79">
        <f>SUM(AJ200:AJ214)</f>
        <v>0</v>
      </c>
      <c r="AT199" s="79">
        <f>SUM(AK200:AK214)</f>
        <v>0</v>
      </c>
      <c r="AU199" s="79">
        <f>SUM(AL200:AL214)</f>
        <v>0</v>
      </c>
    </row>
    <row r="200" spans="1:62" ht="12.75">
      <c r="A200" s="10" t="s">
        <v>75</v>
      </c>
      <c r="B200" s="10" t="s">
        <v>162</v>
      </c>
      <c r="C200" s="10" t="s">
        <v>354</v>
      </c>
      <c r="D200" s="41"/>
      <c r="E200" s="41"/>
      <c r="F200" s="10" t="s">
        <v>389</v>
      </c>
      <c r="G200" s="51">
        <v>166.782</v>
      </c>
      <c r="H200" s="51">
        <v>0</v>
      </c>
      <c r="I200" s="51">
        <f>G200*AO200</f>
        <v>0</v>
      </c>
      <c r="J200" s="51">
        <f>G200*AP200</f>
        <v>0</v>
      </c>
      <c r="K200" s="51">
        <f>G200*H200</f>
        <v>0</v>
      </c>
      <c r="L200" s="71" t="s">
        <v>407</v>
      </c>
      <c r="Z200" s="76">
        <f>IF(AQ200="5",BJ200,0)</f>
        <v>0</v>
      </c>
      <c r="AB200" s="76">
        <f>IF(AQ200="1",BH200,0)</f>
        <v>0</v>
      </c>
      <c r="AC200" s="76">
        <f>IF(AQ200="1",BI200,0)</f>
        <v>0</v>
      </c>
      <c r="AD200" s="76">
        <f>IF(AQ200="7",BH200,0)</f>
        <v>0</v>
      </c>
      <c r="AE200" s="76">
        <f>IF(AQ200="7",BI200,0)</f>
        <v>0</v>
      </c>
      <c r="AF200" s="76">
        <f>IF(AQ200="2",BH200,0)</f>
        <v>0</v>
      </c>
      <c r="AG200" s="76">
        <f>IF(AQ200="2",BI200,0)</f>
        <v>0</v>
      </c>
      <c r="AH200" s="76">
        <f>IF(AQ200="0",BJ200,0)</f>
        <v>0</v>
      </c>
      <c r="AI200" s="72"/>
      <c r="AJ200" s="51">
        <f>IF(AN200=0,K200,0)</f>
        <v>0</v>
      </c>
      <c r="AK200" s="51">
        <f>IF(AN200=15,K200,0)</f>
        <v>0</v>
      </c>
      <c r="AL200" s="51">
        <f>IF(AN200=21,K200,0)</f>
        <v>0</v>
      </c>
      <c r="AN200" s="76">
        <v>21</v>
      </c>
      <c r="AO200" s="76">
        <f>H200*0</f>
        <v>0</v>
      </c>
      <c r="AP200" s="76">
        <f>H200*(1-0)</f>
        <v>0</v>
      </c>
      <c r="AQ200" s="71" t="s">
        <v>11</v>
      </c>
      <c r="AV200" s="76">
        <f>AW200+AX200</f>
        <v>0</v>
      </c>
      <c r="AW200" s="76">
        <f>G200*AO200</f>
        <v>0</v>
      </c>
      <c r="AX200" s="76">
        <f>G200*AP200</f>
        <v>0</v>
      </c>
      <c r="AY200" s="77" t="s">
        <v>438</v>
      </c>
      <c r="AZ200" s="77" t="s">
        <v>443</v>
      </c>
      <c r="BA200" s="72" t="s">
        <v>445</v>
      </c>
      <c r="BC200" s="76">
        <f>AW200+AX200</f>
        <v>0</v>
      </c>
      <c r="BD200" s="76">
        <f>H200/(100-BE200)*100</f>
        <v>0</v>
      </c>
      <c r="BE200" s="76">
        <v>0</v>
      </c>
      <c r="BF200" s="76">
        <f>200</f>
        <v>200</v>
      </c>
      <c r="BH200" s="51">
        <f>G200*AO200</f>
        <v>0</v>
      </c>
      <c r="BI200" s="51">
        <f>G200*AP200</f>
        <v>0</v>
      </c>
      <c r="BJ200" s="51">
        <f>G200*H200</f>
        <v>0</v>
      </c>
    </row>
    <row r="201" spans="3:7" ht="12.75">
      <c r="C201" s="32" t="s">
        <v>355</v>
      </c>
      <c r="D201" s="42"/>
      <c r="E201" s="42"/>
      <c r="G201" s="52">
        <v>29.7</v>
      </c>
    </row>
    <row r="202" spans="3:7" ht="12.75">
      <c r="C202" s="32" t="s">
        <v>356</v>
      </c>
      <c r="D202" s="42"/>
      <c r="E202" s="42"/>
      <c r="G202" s="52">
        <v>58.432</v>
      </c>
    </row>
    <row r="203" spans="3:7" ht="12.75">
      <c r="C203" s="32" t="s">
        <v>357</v>
      </c>
      <c r="D203" s="42"/>
      <c r="E203" s="42"/>
      <c r="G203" s="52">
        <v>78.65</v>
      </c>
    </row>
    <row r="204" spans="1:62" ht="12.75">
      <c r="A204" s="10" t="s">
        <v>76</v>
      </c>
      <c r="B204" s="10" t="s">
        <v>163</v>
      </c>
      <c r="C204" s="10" t="s">
        <v>358</v>
      </c>
      <c r="D204" s="41"/>
      <c r="E204" s="41"/>
      <c r="F204" s="10" t="s">
        <v>389</v>
      </c>
      <c r="G204" s="51">
        <v>1728.738</v>
      </c>
      <c r="H204" s="51">
        <v>0</v>
      </c>
      <c r="I204" s="51">
        <f>G204*AO204</f>
        <v>0</v>
      </c>
      <c r="J204" s="51">
        <f>G204*AP204</f>
        <v>0</v>
      </c>
      <c r="K204" s="51">
        <f>G204*H204</f>
        <v>0</v>
      </c>
      <c r="L204" s="71" t="s">
        <v>407</v>
      </c>
      <c r="Z204" s="76">
        <f>IF(AQ204="5",BJ204,0)</f>
        <v>0</v>
      </c>
      <c r="AB204" s="76">
        <f>IF(AQ204="1",BH204,0)</f>
        <v>0</v>
      </c>
      <c r="AC204" s="76">
        <f>IF(AQ204="1",BI204,0)</f>
        <v>0</v>
      </c>
      <c r="AD204" s="76">
        <f>IF(AQ204="7",BH204,0)</f>
        <v>0</v>
      </c>
      <c r="AE204" s="76">
        <f>IF(AQ204="7",BI204,0)</f>
        <v>0</v>
      </c>
      <c r="AF204" s="76">
        <f>IF(AQ204="2",BH204,0)</f>
        <v>0</v>
      </c>
      <c r="AG204" s="76">
        <f>IF(AQ204="2",BI204,0)</f>
        <v>0</v>
      </c>
      <c r="AH204" s="76">
        <f>IF(AQ204="0",BJ204,0)</f>
        <v>0</v>
      </c>
      <c r="AI204" s="72"/>
      <c r="AJ204" s="51">
        <f>IF(AN204=0,K204,0)</f>
        <v>0</v>
      </c>
      <c r="AK204" s="51">
        <f>IF(AN204=15,K204,0)</f>
        <v>0</v>
      </c>
      <c r="AL204" s="51">
        <f>IF(AN204=21,K204,0)</f>
        <v>0</v>
      </c>
      <c r="AN204" s="76">
        <v>21</v>
      </c>
      <c r="AO204" s="76">
        <f>H204*0</f>
        <v>0</v>
      </c>
      <c r="AP204" s="76">
        <f>H204*(1-0)</f>
        <v>0</v>
      </c>
      <c r="AQ204" s="71" t="s">
        <v>11</v>
      </c>
      <c r="AV204" s="76">
        <f>AW204+AX204</f>
        <v>0</v>
      </c>
      <c r="AW204" s="76">
        <f>G204*AO204</f>
        <v>0</v>
      </c>
      <c r="AX204" s="76">
        <f>G204*AP204</f>
        <v>0</v>
      </c>
      <c r="AY204" s="77" t="s">
        <v>438</v>
      </c>
      <c r="AZ204" s="77" t="s">
        <v>443</v>
      </c>
      <c r="BA204" s="72" t="s">
        <v>445</v>
      </c>
      <c r="BC204" s="76">
        <f>AW204+AX204</f>
        <v>0</v>
      </c>
      <c r="BD204" s="76">
        <f>H204/(100-BE204)*100</f>
        <v>0</v>
      </c>
      <c r="BE204" s="76">
        <v>0</v>
      </c>
      <c r="BF204" s="76">
        <f>204</f>
        <v>204</v>
      </c>
      <c r="BH204" s="51">
        <f>G204*AO204</f>
        <v>0</v>
      </c>
      <c r="BI204" s="51">
        <f>G204*AP204</f>
        <v>0</v>
      </c>
      <c r="BJ204" s="51">
        <f>G204*H204</f>
        <v>0</v>
      </c>
    </row>
    <row r="205" spans="3:7" ht="12.75">
      <c r="C205" s="32" t="s">
        <v>359</v>
      </c>
      <c r="D205" s="42"/>
      <c r="E205" s="42"/>
      <c r="G205" s="52">
        <v>1728.738</v>
      </c>
    </row>
    <row r="206" spans="1:62" ht="12.75">
      <c r="A206" s="10" t="s">
        <v>77</v>
      </c>
      <c r="B206" s="10" t="s">
        <v>164</v>
      </c>
      <c r="C206" s="10" t="s">
        <v>360</v>
      </c>
      <c r="D206" s="41"/>
      <c r="E206" s="41"/>
      <c r="F206" s="10" t="s">
        <v>389</v>
      </c>
      <c r="G206" s="51">
        <v>21.025</v>
      </c>
      <c r="H206" s="51">
        <v>0</v>
      </c>
      <c r="I206" s="51">
        <f>G206*AO206</f>
        <v>0</v>
      </c>
      <c r="J206" s="51">
        <f>G206*AP206</f>
        <v>0</v>
      </c>
      <c r="K206" s="51">
        <f>G206*H206</f>
        <v>0</v>
      </c>
      <c r="L206" s="71" t="s">
        <v>407</v>
      </c>
      <c r="Z206" s="76">
        <f>IF(AQ206="5",BJ206,0)</f>
        <v>0</v>
      </c>
      <c r="AB206" s="76">
        <f>IF(AQ206="1",BH206,0)</f>
        <v>0</v>
      </c>
      <c r="AC206" s="76">
        <f>IF(AQ206="1",BI206,0)</f>
        <v>0</v>
      </c>
      <c r="AD206" s="76">
        <f>IF(AQ206="7",BH206,0)</f>
        <v>0</v>
      </c>
      <c r="AE206" s="76">
        <f>IF(AQ206="7",BI206,0)</f>
        <v>0</v>
      </c>
      <c r="AF206" s="76">
        <f>IF(AQ206="2",BH206,0)</f>
        <v>0</v>
      </c>
      <c r="AG206" s="76">
        <f>IF(AQ206="2",BI206,0)</f>
        <v>0</v>
      </c>
      <c r="AH206" s="76">
        <f>IF(AQ206="0",BJ206,0)</f>
        <v>0</v>
      </c>
      <c r="AI206" s="72"/>
      <c r="AJ206" s="51">
        <f>IF(AN206=0,K206,0)</f>
        <v>0</v>
      </c>
      <c r="AK206" s="51">
        <f>IF(AN206=15,K206,0)</f>
        <v>0</v>
      </c>
      <c r="AL206" s="51">
        <f>IF(AN206=21,K206,0)</f>
        <v>0</v>
      </c>
      <c r="AN206" s="76">
        <v>21</v>
      </c>
      <c r="AO206" s="76">
        <f>H206*0</f>
        <v>0</v>
      </c>
      <c r="AP206" s="76">
        <f>H206*(1-0)</f>
        <v>0</v>
      </c>
      <c r="AQ206" s="71" t="s">
        <v>11</v>
      </c>
      <c r="AV206" s="76">
        <f>AW206+AX206</f>
        <v>0</v>
      </c>
      <c r="AW206" s="76">
        <f>G206*AO206</f>
        <v>0</v>
      </c>
      <c r="AX206" s="76">
        <f>G206*AP206</f>
        <v>0</v>
      </c>
      <c r="AY206" s="77" t="s">
        <v>438</v>
      </c>
      <c r="AZ206" s="77" t="s">
        <v>443</v>
      </c>
      <c r="BA206" s="72" t="s">
        <v>445</v>
      </c>
      <c r="BC206" s="76">
        <f>AW206+AX206</f>
        <v>0</v>
      </c>
      <c r="BD206" s="76">
        <f>H206/(100-BE206)*100</f>
        <v>0</v>
      </c>
      <c r="BE206" s="76">
        <v>0</v>
      </c>
      <c r="BF206" s="76">
        <f>206</f>
        <v>206</v>
      </c>
      <c r="BH206" s="51">
        <f>G206*AO206</f>
        <v>0</v>
      </c>
      <c r="BI206" s="51">
        <f>G206*AP206</f>
        <v>0</v>
      </c>
      <c r="BJ206" s="51">
        <f>G206*H206</f>
        <v>0</v>
      </c>
    </row>
    <row r="207" spans="3:7" ht="12.75">
      <c r="C207" s="32" t="s">
        <v>361</v>
      </c>
      <c r="D207" s="42"/>
      <c r="E207" s="42"/>
      <c r="G207" s="52">
        <v>21.025</v>
      </c>
    </row>
    <row r="208" spans="1:62" ht="12.75">
      <c r="A208" s="10" t="s">
        <v>78</v>
      </c>
      <c r="B208" s="10" t="s">
        <v>165</v>
      </c>
      <c r="C208" s="10" t="s">
        <v>362</v>
      </c>
      <c r="D208" s="41"/>
      <c r="E208" s="41"/>
      <c r="F208" s="10" t="s">
        <v>389</v>
      </c>
      <c r="G208" s="51">
        <v>21.025</v>
      </c>
      <c r="H208" s="51">
        <v>0</v>
      </c>
      <c r="I208" s="51">
        <f>G208*AO208</f>
        <v>0</v>
      </c>
      <c r="J208" s="51">
        <f>G208*AP208</f>
        <v>0</v>
      </c>
      <c r="K208" s="51">
        <f>G208*H208</f>
        <v>0</v>
      </c>
      <c r="L208" s="71" t="s">
        <v>407</v>
      </c>
      <c r="Z208" s="76">
        <f>IF(AQ208="5",BJ208,0)</f>
        <v>0</v>
      </c>
      <c r="AB208" s="76">
        <f>IF(AQ208="1",BH208,0)</f>
        <v>0</v>
      </c>
      <c r="AC208" s="76">
        <f>IF(AQ208="1",BI208,0)</f>
        <v>0</v>
      </c>
      <c r="AD208" s="76">
        <f>IF(AQ208="7",BH208,0)</f>
        <v>0</v>
      </c>
      <c r="AE208" s="76">
        <f>IF(AQ208="7",BI208,0)</f>
        <v>0</v>
      </c>
      <c r="AF208" s="76">
        <f>IF(AQ208="2",BH208,0)</f>
        <v>0</v>
      </c>
      <c r="AG208" s="76">
        <f>IF(AQ208="2",BI208,0)</f>
        <v>0</v>
      </c>
      <c r="AH208" s="76">
        <f>IF(AQ208="0",BJ208,0)</f>
        <v>0</v>
      </c>
      <c r="AI208" s="72"/>
      <c r="AJ208" s="51">
        <f>IF(AN208=0,K208,0)</f>
        <v>0</v>
      </c>
      <c r="AK208" s="51">
        <f>IF(AN208=15,K208,0)</f>
        <v>0</v>
      </c>
      <c r="AL208" s="51">
        <f>IF(AN208=21,K208,0)</f>
        <v>0</v>
      </c>
      <c r="AN208" s="76">
        <v>21</v>
      </c>
      <c r="AO208" s="76">
        <f>H208*0</f>
        <v>0</v>
      </c>
      <c r="AP208" s="76">
        <f>H208*(1-0)</f>
        <v>0</v>
      </c>
      <c r="AQ208" s="71" t="s">
        <v>11</v>
      </c>
      <c r="AV208" s="76">
        <f>AW208+AX208</f>
        <v>0</v>
      </c>
      <c r="AW208" s="76">
        <f>G208*AO208</f>
        <v>0</v>
      </c>
      <c r="AX208" s="76">
        <f>G208*AP208</f>
        <v>0</v>
      </c>
      <c r="AY208" s="77" t="s">
        <v>438</v>
      </c>
      <c r="AZ208" s="77" t="s">
        <v>443</v>
      </c>
      <c r="BA208" s="72" t="s">
        <v>445</v>
      </c>
      <c r="BC208" s="76">
        <f>AW208+AX208</f>
        <v>0</v>
      </c>
      <c r="BD208" s="76">
        <f>H208/(100-BE208)*100</f>
        <v>0</v>
      </c>
      <c r="BE208" s="76">
        <v>0</v>
      </c>
      <c r="BF208" s="76">
        <f>208</f>
        <v>208</v>
      </c>
      <c r="BH208" s="51">
        <f>G208*AO208</f>
        <v>0</v>
      </c>
      <c r="BI208" s="51">
        <f>G208*AP208</f>
        <v>0</v>
      </c>
      <c r="BJ208" s="51">
        <f>G208*H208</f>
        <v>0</v>
      </c>
    </row>
    <row r="209" spans="1:62" ht="12.75">
      <c r="A209" s="10" t="s">
        <v>79</v>
      </c>
      <c r="B209" s="10" t="s">
        <v>166</v>
      </c>
      <c r="C209" s="10" t="s">
        <v>363</v>
      </c>
      <c r="D209" s="41"/>
      <c r="E209" s="41"/>
      <c r="F209" s="10" t="s">
        <v>389</v>
      </c>
      <c r="G209" s="51">
        <v>79.457</v>
      </c>
      <c r="H209" s="51">
        <v>0</v>
      </c>
      <c r="I209" s="51">
        <f>G209*AO209</f>
        <v>0</v>
      </c>
      <c r="J209" s="51">
        <f>G209*AP209</f>
        <v>0</v>
      </c>
      <c r="K209" s="51">
        <f>G209*H209</f>
        <v>0</v>
      </c>
      <c r="L209" s="71" t="s">
        <v>409</v>
      </c>
      <c r="Z209" s="76">
        <f>IF(AQ209="5",BJ209,0)</f>
        <v>0</v>
      </c>
      <c r="AB209" s="76">
        <f>IF(AQ209="1",BH209,0)</f>
        <v>0</v>
      </c>
      <c r="AC209" s="76">
        <f>IF(AQ209="1",BI209,0)</f>
        <v>0</v>
      </c>
      <c r="AD209" s="76">
        <f>IF(AQ209="7",BH209,0)</f>
        <v>0</v>
      </c>
      <c r="AE209" s="76">
        <f>IF(AQ209="7",BI209,0)</f>
        <v>0</v>
      </c>
      <c r="AF209" s="76">
        <f>IF(AQ209="2",BH209,0)</f>
        <v>0</v>
      </c>
      <c r="AG209" s="76">
        <f>IF(AQ209="2",BI209,0)</f>
        <v>0</v>
      </c>
      <c r="AH209" s="76">
        <f>IF(AQ209="0",BJ209,0)</f>
        <v>0</v>
      </c>
      <c r="AI209" s="72"/>
      <c r="AJ209" s="51">
        <f>IF(AN209=0,K209,0)</f>
        <v>0</v>
      </c>
      <c r="AK209" s="51">
        <f>IF(AN209=15,K209,0)</f>
        <v>0</v>
      </c>
      <c r="AL209" s="51">
        <f>IF(AN209=21,K209,0)</f>
        <v>0</v>
      </c>
      <c r="AN209" s="76">
        <v>21</v>
      </c>
      <c r="AO209" s="76">
        <f>H209*0</f>
        <v>0</v>
      </c>
      <c r="AP209" s="76">
        <f>H209*(1-0)</f>
        <v>0</v>
      </c>
      <c r="AQ209" s="71" t="s">
        <v>11</v>
      </c>
      <c r="AV209" s="76">
        <f>AW209+AX209</f>
        <v>0</v>
      </c>
      <c r="AW209" s="76">
        <f>G209*AO209</f>
        <v>0</v>
      </c>
      <c r="AX209" s="76">
        <f>G209*AP209</f>
        <v>0</v>
      </c>
      <c r="AY209" s="77" t="s">
        <v>438</v>
      </c>
      <c r="AZ209" s="77" t="s">
        <v>443</v>
      </c>
      <c r="BA209" s="72" t="s">
        <v>445</v>
      </c>
      <c r="BC209" s="76">
        <f>AW209+AX209</f>
        <v>0</v>
      </c>
      <c r="BD209" s="76">
        <f>H209/(100-BE209)*100</f>
        <v>0</v>
      </c>
      <c r="BE209" s="76">
        <v>0</v>
      </c>
      <c r="BF209" s="76">
        <f>209</f>
        <v>209</v>
      </c>
      <c r="BH209" s="51">
        <f>G209*AO209</f>
        <v>0</v>
      </c>
      <c r="BI209" s="51">
        <f>G209*AP209</f>
        <v>0</v>
      </c>
      <c r="BJ209" s="51">
        <f>G209*H209</f>
        <v>0</v>
      </c>
    </row>
    <row r="210" spans="3:7" ht="12.75">
      <c r="C210" s="32" t="s">
        <v>364</v>
      </c>
      <c r="D210" s="42"/>
      <c r="E210" s="42"/>
      <c r="G210" s="52">
        <v>79.457</v>
      </c>
    </row>
    <row r="211" spans="1:62" ht="12.75">
      <c r="A211" s="10" t="s">
        <v>80</v>
      </c>
      <c r="B211" s="10" t="s">
        <v>167</v>
      </c>
      <c r="C211" s="10" t="s">
        <v>365</v>
      </c>
      <c r="D211" s="41"/>
      <c r="E211" s="41"/>
      <c r="F211" s="10" t="s">
        <v>389</v>
      </c>
      <c r="G211" s="51">
        <v>133.65</v>
      </c>
      <c r="H211" s="51">
        <v>0</v>
      </c>
      <c r="I211" s="51">
        <f>G211*AO211</f>
        <v>0</v>
      </c>
      <c r="J211" s="51">
        <f>G211*AP211</f>
        <v>0</v>
      </c>
      <c r="K211" s="51">
        <f>G211*H211</f>
        <v>0</v>
      </c>
      <c r="L211" s="71" t="s">
        <v>407</v>
      </c>
      <c r="Z211" s="76">
        <f>IF(AQ211="5",BJ211,0)</f>
        <v>0</v>
      </c>
      <c r="AB211" s="76">
        <f>IF(AQ211="1",BH211,0)</f>
        <v>0</v>
      </c>
      <c r="AC211" s="76">
        <f>IF(AQ211="1",BI211,0)</f>
        <v>0</v>
      </c>
      <c r="AD211" s="76">
        <f>IF(AQ211="7",BH211,0)</f>
        <v>0</v>
      </c>
      <c r="AE211" s="76">
        <f>IF(AQ211="7",BI211,0)</f>
        <v>0</v>
      </c>
      <c r="AF211" s="76">
        <f>IF(AQ211="2",BH211,0)</f>
        <v>0</v>
      </c>
      <c r="AG211" s="76">
        <f>IF(AQ211="2",BI211,0)</f>
        <v>0</v>
      </c>
      <c r="AH211" s="76">
        <f>IF(AQ211="0",BJ211,0)</f>
        <v>0</v>
      </c>
      <c r="AI211" s="72"/>
      <c r="AJ211" s="51">
        <f>IF(AN211=0,K211,0)</f>
        <v>0</v>
      </c>
      <c r="AK211" s="51">
        <f>IF(AN211=15,K211,0)</f>
        <v>0</v>
      </c>
      <c r="AL211" s="51">
        <f>IF(AN211=21,K211,0)</f>
        <v>0</v>
      </c>
      <c r="AN211" s="76">
        <v>21</v>
      </c>
      <c r="AO211" s="76">
        <f>H211*0</f>
        <v>0</v>
      </c>
      <c r="AP211" s="76">
        <f>H211*(1-0)</f>
        <v>0</v>
      </c>
      <c r="AQ211" s="71" t="s">
        <v>11</v>
      </c>
      <c r="AV211" s="76">
        <f>AW211+AX211</f>
        <v>0</v>
      </c>
      <c r="AW211" s="76">
        <f>G211*AO211</f>
        <v>0</v>
      </c>
      <c r="AX211" s="76">
        <f>G211*AP211</f>
        <v>0</v>
      </c>
      <c r="AY211" s="77" t="s">
        <v>438</v>
      </c>
      <c r="AZ211" s="77" t="s">
        <v>443</v>
      </c>
      <c r="BA211" s="72" t="s">
        <v>445</v>
      </c>
      <c r="BC211" s="76">
        <f>AW211+AX211</f>
        <v>0</v>
      </c>
      <c r="BD211" s="76">
        <f>H211/(100-BE211)*100</f>
        <v>0</v>
      </c>
      <c r="BE211" s="76">
        <v>0</v>
      </c>
      <c r="BF211" s="76">
        <f>211</f>
        <v>211</v>
      </c>
      <c r="BH211" s="51">
        <f>G211*AO211</f>
        <v>0</v>
      </c>
      <c r="BI211" s="51">
        <f>G211*AP211</f>
        <v>0</v>
      </c>
      <c r="BJ211" s="51">
        <f>G211*H211</f>
        <v>0</v>
      </c>
    </row>
    <row r="212" spans="3:7" ht="12.75">
      <c r="C212" s="32" t="s">
        <v>366</v>
      </c>
      <c r="D212" s="42"/>
      <c r="E212" s="42"/>
      <c r="G212" s="52">
        <v>133.65</v>
      </c>
    </row>
    <row r="213" spans="2:12" ht="12.75">
      <c r="B213" s="24" t="s">
        <v>88</v>
      </c>
      <c r="C213" s="33" t="s">
        <v>367</v>
      </c>
      <c r="D213" s="43"/>
      <c r="E213" s="43"/>
      <c r="F213" s="43"/>
      <c r="G213" s="43"/>
      <c r="H213" s="43"/>
      <c r="I213" s="43"/>
      <c r="J213" s="43"/>
      <c r="K213" s="43"/>
      <c r="L213" s="43"/>
    </row>
    <row r="214" spans="1:62" ht="12.75">
      <c r="A214" s="10" t="s">
        <v>81</v>
      </c>
      <c r="B214" s="10" t="s">
        <v>168</v>
      </c>
      <c r="C214" s="10" t="s">
        <v>368</v>
      </c>
      <c r="D214" s="41"/>
      <c r="E214" s="41"/>
      <c r="F214" s="10" t="s">
        <v>389</v>
      </c>
      <c r="G214" s="51">
        <v>386.18814</v>
      </c>
      <c r="H214" s="51">
        <v>0</v>
      </c>
      <c r="I214" s="51">
        <f>G214*AO214</f>
        <v>0</v>
      </c>
      <c r="J214" s="51">
        <f>G214*AP214</f>
        <v>0</v>
      </c>
      <c r="K214" s="51">
        <f>G214*H214</f>
        <v>0</v>
      </c>
      <c r="L214" s="71" t="s">
        <v>407</v>
      </c>
      <c r="Z214" s="76">
        <f>IF(AQ214="5",BJ214,0)</f>
        <v>0</v>
      </c>
      <c r="AB214" s="76">
        <f>IF(AQ214="1",BH214,0)</f>
        <v>0</v>
      </c>
      <c r="AC214" s="76">
        <f>IF(AQ214="1",BI214,0)</f>
        <v>0</v>
      </c>
      <c r="AD214" s="76">
        <f>IF(AQ214="7",BH214,0)</f>
        <v>0</v>
      </c>
      <c r="AE214" s="76">
        <f>IF(AQ214="7",BI214,0)</f>
        <v>0</v>
      </c>
      <c r="AF214" s="76">
        <f>IF(AQ214="2",BH214,0)</f>
        <v>0</v>
      </c>
      <c r="AG214" s="76">
        <f>IF(AQ214="2",BI214,0)</f>
        <v>0</v>
      </c>
      <c r="AH214" s="76">
        <f>IF(AQ214="0",BJ214,0)</f>
        <v>0</v>
      </c>
      <c r="AI214" s="72"/>
      <c r="AJ214" s="51">
        <f>IF(AN214=0,K214,0)</f>
        <v>0</v>
      </c>
      <c r="AK214" s="51">
        <f>IF(AN214=15,K214,0)</f>
        <v>0</v>
      </c>
      <c r="AL214" s="51">
        <f>IF(AN214=21,K214,0)</f>
        <v>0</v>
      </c>
      <c r="AN214" s="76">
        <v>21</v>
      </c>
      <c r="AO214" s="76">
        <f>H214*0</f>
        <v>0</v>
      </c>
      <c r="AP214" s="76">
        <f>H214*(1-0)</f>
        <v>0</v>
      </c>
      <c r="AQ214" s="71" t="s">
        <v>11</v>
      </c>
      <c r="AV214" s="76">
        <f>AW214+AX214</f>
        <v>0</v>
      </c>
      <c r="AW214" s="76">
        <f>G214*AO214</f>
        <v>0</v>
      </c>
      <c r="AX214" s="76">
        <f>G214*AP214</f>
        <v>0</v>
      </c>
      <c r="AY214" s="77" t="s">
        <v>438</v>
      </c>
      <c r="AZ214" s="77" t="s">
        <v>443</v>
      </c>
      <c r="BA214" s="72" t="s">
        <v>445</v>
      </c>
      <c r="BC214" s="76">
        <f>AW214+AX214</f>
        <v>0</v>
      </c>
      <c r="BD214" s="76">
        <f>H214/(100-BE214)*100</f>
        <v>0</v>
      </c>
      <c r="BE214" s="76">
        <v>0</v>
      </c>
      <c r="BF214" s="76">
        <f>214</f>
        <v>214</v>
      </c>
      <c r="BH214" s="51">
        <f>G214*AO214</f>
        <v>0</v>
      </c>
      <c r="BI214" s="51">
        <f>G214*AP214</f>
        <v>0</v>
      </c>
      <c r="BJ214" s="51">
        <f>G214*H214</f>
        <v>0</v>
      </c>
    </row>
    <row r="215" spans="1:47" ht="12.75">
      <c r="A215" s="11"/>
      <c r="B215" s="25"/>
      <c r="C215" s="25" t="s">
        <v>369</v>
      </c>
      <c r="D215" s="44"/>
      <c r="E215" s="44"/>
      <c r="F215" s="11" t="s">
        <v>6</v>
      </c>
      <c r="G215" s="11" t="s">
        <v>6</v>
      </c>
      <c r="H215" s="11" t="s">
        <v>6</v>
      </c>
      <c r="I215" s="79">
        <f>SUM(I216:I222)</f>
        <v>0</v>
      </c>
      <c r="J215" s="79">
        <f>SUM(J216:J222)</f>
        <v>0</v>
      </c>
      <c r="K215" s="79">
        <f>SUM(K216:K222)</f>
        <v>0</v>
      </c>
      <c r="L215" s="72"/>
      <c r="AI215" s="72"/>
      <c r="AS215" s="79">
        <f>SUM(AJ216:AJ222)</f>
        <v>0</v>
      </c>
      <c r="AT215" s="79">
        <f>SUM(AK216:AK222)</f>
        <v>0</v>
      </c>
      <c r="AU215" s="79">
        <f>SUM(AL216:AL222)</f>
        <v>0</v>
      </c>
    </row>
    <row r="216" spans="1:62" ht="12.75">
      <c r="A216" s="12" t="s">
        <v>82</v>
      </c>
      <c r="B216" s="12" t="s">
        <v>169</v>
      </c>
      <c r="C216" s="12" t="s">
        <v>370</v>
      </c>
      <c r="D216" s="45"/>
      <c r="E216" s="45"/>
      <c r="F216" s="12" t="s">
        <v>388</v>
      </c>
      <c r="G216" s="53">
        <v>2</v>
      </c>
      <c r="H216" s="53">
        <v>0</v>
      </c>
      <c r="I216" s="53">
        <f>G216*AO216</f>
        <v>0</v>
      </c>
      <c r="J216" s="53">
        <f>G216*AP216</f>
        <v>0</v>
      </c>
      <c r="K216" s="53">
        <f>G216*H216</f>
        <v>0</v>
      </c>
      <c r="L216" s="73" t="s">
        <v>408</v>
      </c>
      <c r="Z216" s="76">
        <f>IF(AQ216="5",BJ216,0)</f>
        <v>0</v>
      </c>
      <c r="AB216" s="76">
        <f>IF(AQ216="1",BH216,0)</f>
        <v>0</v>
      </c>
      <c r="AC216" s="76">
        <f>IF(AQ216="1",BI216,0)</f>
        <v>0</v>
      </c>
      <c r="AD216" s="76">
        <f>IF(AQ216="7",BH216,0)</f>
        <v>0</v>
      </c>
      <c r="AE216" s="76">
        <f>IF(AQ216="7",BI216,0)</f>
        <v>0</v>
      </c>
      <c r="AF216" s="76">
        <f>IF(AQ216="2",BH216,0)</f>
        <v>0</v>
      </c>
      <c r="AG216" s="76">
        <f>IF(AQ216="2",BI216,0)</f>
        <v>0</v>
      </c>
      <c r="AH216" s="76">
        <f>IF(AQ216="0",BJ216,0)</f>
        <v>0</v>
      </c>
      <c r="AI216" s="72"/>
      <c r="AJ216" s="53">
        <f>IF(AN216=0,K216,0)</f>
        <v>0</v>
      </c>
      <c r="AK216" s="53">
        <f>IF(AN216=15,K216,0)</f>
        <v>0</v>
      </c>
      <c r="AL216" s="53">
        <f>IF(AN216=21,K216,0)</f>
        <v>0</v>
      </c>
      <c r="AN216" s="76">
        <v>21</v>
      </c>
      <c r="AO216" s="76">
        <f>H216*1</f>
        <v>0</v>
      </c>
      <c r="AP216" s="76">
        <f>H216*(1-1)</f>
        <v>0</v>
      </c>
      <c r="AQ216" s="73" t="s">
        <v>419</v>
      </c>
      <c r="AV216" s="76">
        <f>AW216+AX216</f>
        <v>0</v>
      </c>
      <c r="AW216" s="76">
        <f>G216*AO216</f>
        <v>0</v>
      </c>
      <c r="AX216" s="76">
        <f>G216*AP216</f>
        <v>0</v>
      </c>
      <c r="AY216" s="77" t="s">
        <v>439</v>
      </c>
      <c r="AZ216" s="77" t="s">
        <v>444</v>
      </c>
      <c r="BA216" s="72" t="s">
        <v>445</v>
      </c>
      <c r="BC216" s="76">
        <f>AW216+AX216</f>
        <v>0</v>
      </c>
      <c r="BD216" s="76">
        <f>H216/(100-BE216)*100</f>
        <v>0</v>
      </c>
      <c r="BE216" s="76">
        <v>0</v>
      </c>
      <c r="BF216" s="76">
        <f>216</f>
        <v>216</v>
      </c>
      <c r="BH216" s="53">
        <f>G216*AO216</f>
        <v>0</v>
      </c>
      <c r="BI216" s="53">
        <f>G216*AP216</f>
        <v>0</v>
      </c>
      <c r="BJ216" s="53">
        <f>G216*H216</f>
        <v>0</v>
      </c>
    </row>
    <row r="217" spans="3:7" ht="12.75">
      <c r="C217" s="32" t="s">
        <v>371</v>
      </c>
      <c r="D217" s="42"/>
      <c r="E217" s="42"/>
      <c r="G217" s="52">
        <v>0</v>
      </c>
    </row>
    <row r="218" spans="2:12" ht="12.75">
      <c r="B218" s="24" t="s">
        <v>88</v>
      </c>
      <c r="C218" s="33" t="s">
        <v>372</v>
      </c>
      <c r="D218" s="43"/>
      <c r="E218" s="43"/>
      <c r="F218" s="43"/>
      <c r="G218" s="43"/>
      <c r="H218" s="43"/>
      <c r="I218" s="43"/>
      <c r="J218" s="43"/>
      <c r="K218" s="43"/>
      <c r="L218" s="43"/>
    </row>
    <row r="219" spans="1:62" ht="12.75">
      <c r="A219" s="12" t="s">
        <v>83</v>
      </c>
      <c r="B219" s="12" t="s">
        <v>170</v>
      </c>
      <c r="C219" s="12" t="s">
        <v>373</v>
      </c>
      <c r="D219" s="45"/>
      <c r="E219" s="45"/>
      <c r="F219" s="12" t="s">
        <v>386</v>
      </c>
      <c r="G219" s="53">
        <v>88</v>
      </c>
      <c r="H219" s="53">
        <v>0</v>
      </c>
      <c r="I219" s="53">
        <f>G219*AO219</f>
        <v>0</v>
      </c>
      <c r="J219" s="53">
        <f>G219*AP219</f>
        <v>0</v>
      </c>
      <c r="K219" s="53">
        <f>G219*H219</f>
        <v>0</v>
      </c>
      <c r="L219" s="73" t="s">
        <v>408</v>
      </c>
      <c r="Z219" s="76">
        <f>IF(AQ219="5",BJ219,0)</f>
        <v>0</v>
      </c>
      <c r="AB219" s="76">
        <f>IF(AQ219="1",BH219,0)</f>
        <v>0</v>
      </c>
      <c r="AC219" s="76">
        <f>IF(AQ219="1",BI219,0)</f>
        <v>0</v>
      </c>
      <c r="AD219" s="76">
        <f>IF(AQ219="7",BH219,0)</f>
        <v>0</v>
      </c>
      <c r="AE219" s="76">
        <f>IF(AQ219="7",BI219,0)</f>
        <v>0</v>
      </c>
      <c r="AF219" s="76">
        <f>IF(AQ219="2",BH219,0)</f>
        <v>0</v>
      </c>
      <c r="AG219" s="76">
        <f>IF(AQ219="2",BI219,0)</f>
        <v>0</v>
      </c>
      <c r="AH219" s="76">
        <f>IF(AQ219="0",BJ219,0)</f>
        <v>0</v>
      </c>
      <c r="AI219" s="72"/>
      <c r="AJ219" s="53">
        <f>IF(AN219=0,K219,0)</f>
        <v>0</v>
      </c>
      <c r="AK219" s="53">
        <f>IF(AN219=15,K219,0)</f>
        <v>0</v>
      </c>
      <c r="AL219" s="53">
        <f>IF(AN219=21,K219,0)</f>
        <v>0</v>
      </c>
      <c r="AN219" s="76">
        <v>21</v>
      </c>
      <c r="AO219" s="76">
        <f>H219*1</f>
        <v>0</v>
      </c>
      <c r="AP219" s="76">
        <f>H219*(1-1)</f>
        <v>0</v>
      </c>
      <c r="AQ219" s="73" t="s">
        <v>419</v>
      </c>
      <c r="AV219" s="76">
        <f>AW219+AX219</f>
        <v>0</v>
      </c>
      <c r="AW219" s="76">
        <f>G219*AO219</f>
        <v>0</v>
      </c>
      <c r="AX219" s="76">
        <f>G219*AP219</f>
        <v>0</v>
      </c>
      <c r="AY219" s="77" t="s">
        <v>439</v>
      </c>
      <c r="AZ219" s="77" t="s">
        <v>444</v>
      </c>
      <c r="BA219" s="72" t="s">
        <v>445</v>
      </c>
      <c r="BC219" s="76">
        <f>AW219+AX219</f>
        <v>0</v>
      </c>
      <c r="BD219" s="76">
        <f>H219/(100-BE219)*100</f>
        <v>0</v>
      </c>
      <c r="BE219" s="76">
        <v>0</v>
      </c>
      <c r="BF219" s="76">
        <f>219</f>
        <v>219</v>
      </c>
      <c r="BH219" s="53">
        <f>G219*AO219</f>
        <v>0</v>
      </c>
      <c r="BI219" s="53">
        <f>G219*AP219</f>
        <v>0</v>
      </c>
      <c r="BJ219" s="53">
        <f>G219*H219</f>
        <v>0</v>
      </c>
    </row>
    <row r="220" spans="3:7" ht="12.75">
      <c r="C220" s="32" t="s">
        <v>374</v>
      </c>
      <c r="D220" s="42"/>
      <c r="E220" s="42"/>
      <c r="G220" s="52">
        <v>88</v>
      </c>
    </row>
    <row r="221" spans="2:12" ht="12.75">
      <c r="B221" s="24" t="s">
        <v>88</v>
      </c>
      <c r="C221" s="33" t="s">
        <v>375</v>
      </c>
      <c r="D221" s="43"/>
      <c r="E221" s="43"/>
      <c r="F221" s="43"/>
      <c r="G221" s="43"/>
      <c r="H221" s="43"/>
      <c r="I221" s="43"/>
      <c r="J221" s="43"/>
      <c r="K221" s="43"/>
      <c r="L221" s="43"/>
    </row>
    <row r="222" spans="1:62" ht="12.75">
      <c r="A222" s="12" t="s">
        <v>84</v>
      </c>
      <c r="B222" s="12" t="s">
        <v>171</v>
      </c>
      <c r="C222" s="12" t="s">
        <v>376</v>
      </c>
      <c r="D222" s="45"/>
      <c r="E222" s="45"/>
      <c r="F222" s="12" t="s">
        <v>388</v>
      </c>
      <c r="G222" s="53">
        <v>2</v>
      </c>
      <c r="H222" s="53">
        <v>0</v>
      </c>
      <c r="I222" s="53">
        <f>G222*AO222</f>
        <v>0</v>
      </c>
      <c r="J222" s="53">
        <f>G222*AP222</f>
        <v>0</v>
      </c>
      <c r="K222" s="53">
        <f>G222*H222</f>
        <v>0</v>
      </c>
      <c r="L222" s="73" t="s">
        <v>408</v>
      </c>
      <c r="Z222" s="76">
        <f>IF(AQ222="5",BJ222,0)</f>
        <v>0</v>
      </c>
      <c r="AB222" s="76">
        <f>IF(AQ222="1",BH222,0)</f>
        <v>0</v>
      </c>
      <c r="AC222" s="76">
        <f>IF(AQ222="1",BI222,0)</f>
        <v>0</v>
      </c>
      <c r="AD222" s="76">
        <f>IF(AQ222="7",BH222,0)</f>
        <v>0</v>
      </c>
      <c r="AE222" s="76">
        <f>IF(AQ222="7",BI222,0)</f>
        <v>0</v>
      </c>
      <c r="AF222" s="76">
        <f>IF(AQ222="2",BH222,0)</f>
        <v>0</v>
      </c>
      <c r="AG222" s="76">
        <f>IF(AQ222="2",BI222,0)</f>
        <v>0</v>
      </c>
      <c r="AH222" s="76">
        <f>IF(AQ222="0",BJ222,0)</f>
        <v>0</v>
      </c>
      <c r="AI222" s="72"/>
      <c r="AJ222" s="53">
        <f>IF(AN222=0,K222,0)</f>
        <v>0</v>
      </c>
      <c r="AK222" s="53">
        <f>IF(AN222=15,K222,0)</f>
        <v>0</v>
      </c>
      <c r="AL222" s="53">
        <f>IF(AN222=21,K222,0)</f>
        <v>0</v>
      </c>
      <c r="AN222" s="76">
        <v>21</v>
      </c>
      <c r="AO222" s="76">
        <f>H222*1</f>
        <v>0</v>
      </c>
      <c r="AP222" s="76">
        <f>H222*(1-1)</f>
        <v>0</v>
      </c>
      <c r="AQ222" s="73" t="s">
        <v>419</v>
      </c>
      <c r="AV222" s="76">
        <f>AW222+AX222</f>
        <v>0</v>
      </c>
      <c r="AW222" s="76">
        <f>G222*AO222</f>
        <v>0</v>
      </c>
      <c r="AX222" s="76">
        <f>G222*AP222</f>
        <v>0</v>
      </c>
      <c r="AY222" s="77" t="s">
        <v>439</v>
      </c>
      <c r="AZ222" s="77" t="s">
        <v>444</v>
      </c>
      <c r="BA222" s="72" t="s">
        <v>445</v>
      </c>
      <c r="BC222" s="76">
        <f>AW222+AX222</f>
        <v>0</v>
      </c>
      <c r="BD222" s="76">
        <f>H222/(100-BE222)*100</f>
        <v>0</v>
      </c>
      <c r="BE222" s="76">
        <v>0</v>
      </c>
      <c r="BF222" s="76">
        <f>222</f>
        <v>222</v>
      </c>
      <c r="BH222" s="53">
        <f>G222*AO222</f>
        <v>0</v>
      </c>
      <c r="BI222" s="53">
        <f>G222*AP222</f>
        <v>0</v>
      </c>
      <c r="BJ222" s="53">
        <f>G222*H222</f>
        <v>0</v>
      </c>
    </row>
    <row r="223" spans="1:12" ht="12.75">
      <c r="A223" s="13"/>
      <c r="B223" s="26" t="s">
        <v>88</v>
      </c>
      <c r="C223" s="35" t="s">
        <v>377</v>
      </c>
      <c r="D223" s="47"/>
      <c r="E223" s="47"/>
      <c r="F223" s="47"/>
      <c r="G223" s="47"/>
      <c r="H223" s="47"/>
      <c r="I223" s="47"/>
      <c r="J223" s="47"/>
      <c r="K223" s="47"/>
      <c r="L223" s="47"/>
    </row>
    <row r="224" spans="1:12" ht="12.75">
      <c r="A224" s="14"/>
      <c r="B224" s="14"/>
      <c r="C224" s="14"/>
      <c r="D224" s="14"/>
      <c r="E224" s="14"/>
      <c r="F224" s="14"/>
      <c r="G224" s="14"/>
      <c r="H224" s="14"/>
      <c r="I224" s="59" t="s">
        <v>402</v>
      </c>
      <c r="J224" s="62"/>
      <c r="K224" s="80">
        <f>K12+K29+K37+K58+K69+K79+K86+K95+K98+K103+K115+K121+K133+K135+K147+K165+K168+K197+K199+K215</f>
        <v>0</v>
      </c>
      <c r="L224" s="14"/>
    </row>
    <row r="225" ht="11.25" customHeight="1">
      <c r="A225" s="15" t="s">
        <v>85</v>
      </c>
    </row>
    <row r="226" spans="1:12" ht="12.75">
      <c r="A226" s="16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</row>
  </sheetData>
  <mergeCells count="242">
    <mergeCell ref="A1:L1"/>
    <mergeCell ref="A2:B3"/>
    <mergeCell ref="C2:C3"/>
    <mergeCell ref="D2:E3"/>
    <mergeCell ref="F2:G3"/>
    <mergeCell ref="H2:H3"/>
    <mergeCell ref="I2:L3"/>
    <mergeCell ref="A4:B5"/>
    <mergeCell ref="C4:C5"/>
    <mergeCell ref="D4:E5"/>
    <mergeCell ref="F4:G5"/>
    <mergeCell ref="H4:H5"/>
    <mergeCell ref="I4:L5"/>
    <mergeCell ref="A6:B7"/>
    <mergeCell ref="C6:C7"/>
    <mergeCell ref="D6:E7"/>
    <mergeCell ref="F6:G7"/>
    <mergeCell ref="H6:H7"/>
    <mergeCell ref="I6:L7"/>
    <mergeCell ref="A8:B9"/>
    <mergeCell ref="C8:C9"/>
    <mergeCell ref="D8:E9"/>
    <mergeCell ref="F8:G9"/>
    <mergeCell ref="H8:H9"/>
    <mergeCell ref="I8:L9"/>
    <mergeCell ref="C10:E10"/>
    <mergeCell ref="I10:K10"/>
    <mergeCell ref="C11:E11"/>
    <mergeCell ref="C12:E12"/>
    <mergeCell ref="C13:E13"/>
    <mergeCell ref="C14:E14"/>
    <mergeCell ref="C15:L15"/>
    <mergeCell ref="C16:E16"/>
    <mergeCell ref="C17:E17"/>
    <mergeCell ref="C18:L18"/>
    <mergeCell ref="C19:E19"/>
    <mergeCell ref="C20:E20"/>
    <mergeCell ref="C21:L21"/>
    <mergeCell ref="C22:E22"/>
    <mergeCell ref="C23:E23"/>
    <mergeCell ref="C24:L24"/>
    <mergeCell ref="C25:E25"/>
    <mergeCell ref="C26:L26"/>
    <mergeCell ref="C27:E27"/>
    <mergeCell ref="C28:E28"/>
    <mergeCell ref="C29:E29"/>
    <mergeCell ref="C30:E30"/>
    <mergeCell ref="C31:E31"/>
    <mergeCell ref="C32:L32"/>
    <mergeCell ref="C33:E33"/>
    <mergeCell ref="C34:E34"/>
    <mergeCell ref="C35:E35"/>
    <mergeCell ref="C36:L36"/>
    <mergeCell ref="C37:E37"/>
    <mergeCell ref="C38:E38"/>
    <mergeCell ref="C39:E39"/>
    <mergeCell ref="C40:E40"/>
    <mergeCell ref="C41:L41"/>
    <mergeCell ref="C42:E42"/>
    <mergeCell ref="C43:E43"/>
    <mergeCell ref="C44:L44"/>
    <mergeCell ref="C45:E45"/>
    <mergeCell ref="C46:E46"/>
    <mergeCell ref="C47:E47"/>
    <mergeCell ref="C48:L48"/>
    <mergeCell ref="C49:E49"/>
    <mergeCell ref="C50:E50"/>
    <mergeCell ref="C51:L51"/>
    <mergeCell ref="C52:E52"/>
    <mergeCell ref="C53:E53"/>
    <mergeCell ref="C54:L54"/>
    <mergeCell ref="C55:E55"/>
    <mergeCell ref="C56:E56"/>
    <mergeCell ref="C57:L57"/>
    <mergeCell ref="C58:E58"/>
    <mergeCell ref="C59:E59"/>
    <mergeCell ref="C60:E60"/>
    <mergeCell ref="C61:E61"/>
    <mergeCell ref="C62:L62"/>
    <mergeCell ref="C63:E63"/>
    <mergeCell ref="C64:E64"/>
    <mergeCell ref="C65:E65"/>
    <mergeCell ref="C66:E66"/>
    <mergeCell ref="C67:L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82:E82"/>
    <mergeCell ref="C83:L83"/>
    <mergeCell ref="C84:E84"/>
    <mergeCell ref="C85:L85"/>
    <mergeCell ref="C86:E86"/>
    <mergeCell ref="C87:E87"/>
    <mergeCell ref="C88:E88"/>
    <mergeCell ref="C89:E89"/>
    <mergeCell ref="C90:E90"/>
    <mergeCell ref="C91:L91"/>
    <mergeCell ref="C92:E92"/>
    <mergeCell ref="C93:E93"/>
    <mergeCell ref="C94:L94"/>
    <mergeCell ref="C95:E95"/>
    <mergeCell ref="C96:E96"/>
    <mergeCell ref="C97:E97"/>
    <mergeCell ref="C98:E98"/>
    <mergeCell ref="C99:E99"/>
    <mergeCell ref="C100:L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24:L124"/>
    <mergeCell ref="C125:E125"/>
    <mergeCell ref="C126:E126"/>
    <mergeCell ref="C127:E127"/>
    <mergeCell ref="C128:L128"/>
    <mergeCell ref="C129:E129"/>
    <mergeCell ref="C130:E130"/>
    <mergeCell ref="C131:E131"/>
    <mergeCell ref="C132:L132"/>
    <mergeCell ref="C133:E133"/>
    <mergeCell ref="C134:E134"/>
    <mergeCell ref="C135:E135"/>
    <mergeCell ref="C136:E136"/>
    <mergeCell ref="C137:E137"/>
    <mergeCell ref="C138:E138"/>
    <mergeCell ref="C139:L139"/>
    <mergeCell ref="C140:E140"/>
    <mergeCell ref="C141:E141"/>
    <mergeCell ref="C142:E142"/>
    <mergeCell ref="C143:L143"/>
    <mergeCell ref="C144:E144"/>
    <mergeCell ref="C145:E145"/>
    <mergeCell ref="C146:E146"/>
    <mergeCell ref="C147:E147"/>
    <mergeCell ref="C148:E148"/>
    <mergeCell ref="C149:E149"/>
    <mergeCell ref="C150:L150"/>
    <mergeCell ref="C151:E151"/>
    <mergeCell ref="C152:E152"/>
    <mergeCell ref="C153:L153"/>
    <mergeCell ref="C154:E154"/>
    <mergeCell ref="C155:L155"/>
    <mergeCell ref="C156:E156"/>
    <mergeCell ref="C157:E157"/>
    <mergeCell ref="C158:E158"/>
    <mergeCell ref="C159:L159"/>
    <mergeCell ref="C160:E160"/>
    <mergeCell ref="C161:E161"/>
    <mergeCell ref="C162:E162"/>
    <mergeCell ref="C163:E163"/>
    <mergeCell ref="C164:L164"/>
    <mergeCell ref="C165:E165"/>
    <mergeCell ref="C166:E166"/>
    <mergeCell ref="C167:E167"/>
    <mergeCell ref="C168:E168"/>
    <mergeCell ref="C169:E169"/>
    <mergeCell ref="C170:E170"/>
    <mergeCell ref="C171:E171"/>
    <mergeCell ref="C172:L172"/>
    <mergeCell ref="C173:E173"/>
    <mergeCell ref="C174:E174"/>
    <mergeCell ref="C175:E175"/>
    <mergeCell ref="C176:L176"/>
    <mergeCell ref="C177:E177"/>
    <mergeCell ref="C178:E178"/>
    <mergeCell ref="C179:E179"/>
    <mergeCell ref="C180:L180"/>
    <mergeCell ref="C181:E181"/>
    <mergeCell ref="C182:E182"/>
    <mergeCell ref="C183:E183"/>
    <mergeCell ref="C184:L184"/>
    <mergeCell ref="C185:E185"/>
    <mergeCell ref="C186:L186"/>
    <mergeCell ref="C187:E187"/>
    <mergeCell ref="C188:L188"/>
    <mergeCell ref="C189:E189"/>
    <mergeCell ref="C190:L190"/>
    <mergeCell ref="C191:E191"/>
    <mergeCell ref="C192:L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L213"/>
    <mergeCell ref="C214:E214"/>
    <mergeCell ref="C215:E215"/>
    <mergeCell ref="C216:E216"/>
    <mergeCell ref="C217:E217"/>
    <mergeCell ref="C218:L218"/>
    <mergeCell ref="C219:E219"/>
    <mergeCell ref="C220:E220"/>
    <mergeCell ref="C221:L221"/>
    <mergeCell ref="C222:E222"/>
    <mergeCell ref="C223:L223"/>
    <mergeCell ref="I224:J224"/>
    <mergeCell ref="A226:L226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pane ySplit="10" topLeftCell="A11" activePane="bottomLeft" state="frozen"/>
      <selection pane="bottomLeft" activeCell="A1" sqref="A1:F1"/>
    </sheetView>
  </sheetViews>
  <sheetFormatPr defaultColWidth="11.57421875" defaultRowHeight="12.75"/>
  <cols>
    <col min="1" max="1" width="16.57421875" customWidth="1"/>
    <col min="2" max="2" width="41.7109375" customWidth="1"/>
    <col min="4" max="4" width="22.140625" customWidth="1"/>
    <col min="5" max="5" width="21.00390625" customWidth="1"/>
    <col min="6" max="6" width="20.8515625" customWidth="1"/>
    <col min="7" max="8" width="0" hidden="1" customWidth="1"/>
  </cols>
  <sheetData>
    <row r="1" spans="1:6" ht="72.75" customHeight="1">
      <c r="A1" s="133" t="s">
        <v>449</v>
      </c>
      <c r="B1" s="17"/>
      <c r="C1" s="17"/>
      <c r="D1" s="17"/>
      <c r="E1" s="17"/>
      <c r="F1" s="17"/>
    </row>
    <row r="2" spans="1:7" ht="12.75">
      <c r="A2" s="3" t="s">
        <v>1</v>
      </c>
      <c r="B2" s="27" t="str">
        <f>'Stavební rozpočet'!C2</f>
        <v>Ulice Husova, Hybešova - parkovací stání</v>
      </c>
      <c r="C2" s="62"/>
      <c r="D2" s="54" t="s">
        <v>391</v>
      </c>
      <c r="E2" s="54" t="str">
        <f>'Stavební rozpočet'!I2</f>
        <v>Město Šlapanice</v>
      </c>
      <c r="F2" s="65"/>
      <c r="G2" s="74"/>
    </row>
    <row r="3" spans="1:7" ht="12.75">
      <c r="A3" s="4"/>
      <c r="B3" s="28"/>
      <c r="C3" s="28"/>
      <c r="D3" s="19"/>
      <c r="E3" s="19"/>
      <c r="F3" s="66"/>
      <c r="G3" s="74"/>
    </row>
    <row r="4" spans="1:7" ht="12.75">
      <c r="A4" s="5" t="s">
        <v>2</v>
      </c>
      <c r="B4" s="16" t="str">
        <f>'Stavební rozpočet'!C4</f>
        <v>SO01 Ulice Husova</v>
      </c>
      <c r="C4" s="19"/>
      <c r="D4" s="16" t="s">
        <v>392</v>
      </c>
      <c r="E4" s="16" t="str">
        <f>'Stavební rozpočet'!I4</f>
        <v>Matula, projekční kancelář, Šumavská 15, Brno, 602</v>
      </c>
      <c r="F4" s="66"/>
      <c r="G4" s="74"/>
    </row>
    <row r="5" spans="1:7" ht="12.75">
      <c r="A5" s="4"/>
      <c r="B5" s="19"/>
      <c r="C5" s="19"/>
      <c r="D5" s="19"/>
      <c r="E5" s="19"/>
      <c r="F5" s="66"/>
      <c r="G5" s="74"/>
    </row>
    <row r="6" spans="1:7" ht="12.75">
      <c r="A6" s="5" t="s">
        <v>3</v>
      </c>
      <c r="B6" s="16" t="str">
        <f>'Stavební rozpočet'!C6</f>
        <v>Šlapanice</v>
      </c>
      <c r="C6" s="19"/>
      <c r="D6" s="16" t="s">
        <v>393</v>
      </c>
      <c r="E6" s="16">
        <f>'Stavební rozpočet'!I6</f>
        <v>0</v>
      </c>
      <c r="F6" s="66"/>
      <c r="G6" s="74"/>
    </row>
    <row r="7" spans="1:7" ht="12.75">
      <c r="A7" s="4"/>
      <c r="B7" s="19"/>
      <c r="C7" s="19"/>
      <c r="D7" s="19"/>
      <c r="E7" s="19"/>
      <c r="F7" s="66"/>
      <c r="G7" s="74"/>
    </row>
    <row r="8" spans="1:7" ht="12.75">
      <c r="A8" s="5" t="s">
        <v>394</v>
      </c>
      <c r="B8" s="16" t="str">
        <f>'Stavební rozpočet'!I8</f>
        <v>Ing. Krejčíková</v>
      </c>
      <c r="C8" s="19"/>
      <c r="D8" s="37" t="s">
        <v>381</v>
      </c>
      <c r="E8" s="16" t="str">
        <f>'Stavební rozpočet'!F8</f>
        <v>04.04.2018</v>
      </c>
      <c r="F8" s="66"/>
      <c r="G8" s="74"/>
    </row>
    <row r="9" spans="1:7" ht="12.75">
      <c r="A9" s="6"/>
      <c r="B9" s="20"/>
      <c r="C9" s="20"/>
      <c r="D9" s="20"/>
      <c r="E9" s="20"/>
      <c r="F9" s="67"/>
      <c r="G9" s="74"/>
    </row>
    <row r="10" spans="1:7" ht="12.75">
      <c r="A10" s="81" t="s">
        <v>86</v>
      </c>
      <c r="B10" s="83" t="s">
        <v>450</v>
      </c>
      <c r="C10" s="84"/>
      <c r="D10" s="86" t="s">
        <v>451</v>
      </c>
      <c r="E10" s="86" t="s">
        <v>452</v>
      </c>
      <c r="F10" s="86" t="s">
        <v>453</v>
      </c>
      <c r="G10" s="74"/>
    </row>
    <row r="11" spans="1:8" ht="12.75">
      <c r="A11" s="82" t="s">
        <v>17</v>
      </c>
      <c r="B11" s="82" t="s">
        <v>177</v>
      </c>
      <c r="C11" s="85"/>
      <c r="D11" s="88">
        <f>'Stavební rozpočet'!I12</f>
        <v>0</v>
      </c>
      <c r="E11" s="88">
        <f>'Stavební rozpočet'!J12</f>
        <v>0</v>
      </c>
      <c r="F11" s="88">
        <f>'Stavební rozpočet'!K12</f>
        <v>0</v>
      </c>
      <c r="G11" s="76" t="s">
        <v>454</v>
      </c>
      <c r="H11" s="76">
        <f>IF(G11="F",0,F11)</f>
        <v>0</v>
      </c>
    </row>
    <row r="12" spans="1:8" ht="12.75">
      <c r="A12" s="37" t="s">
        <v>18</v>
      </c>
      <c r="B12" s="37" t="s">
        <v>192</v>
      </c>
      <c r="C12" s="19"/>
      <c r="D12" s="76">
        <f>'Stavební rozpočet'!I29</f>
        <v>0</v>
      </c>
      <c r="E12" s="76">
        <f>'Stavební rozpočet'!J29</f>
        <v>0</v>
      </c>
      <c r="F12" s="76">
        <f>'Stavební rozpočet'!K29</f>
        <v>0</v>
      </c>
      <c r="G12" s="76" t="s">
        <v>454</v>
      </c>
      <c r="H12" s="76">
        <f>IF(G12="F",0,F12)</f>
        <v>0</v>
      </c>
    </row>
    <row r="13" spans="1:8" ht="12.75">
      <c r="A13" s="37" t="s">
        <v>19</v>
      </c>
      <c r="B13" s="37" t="s">
        <v>200</v>
      </c>
      <c r="C13" s="19"/>
      <c r="D13" s="76">
        <f>'Stavební rozpočet'!I37</f>
        <v>0</v>
      </c>
      <c r="E13" s="76">
        <f>'Stavební rozpočet'!J37</f>
        <v>0</v>
      </c>
      <c r="F13" s="76">
        <f>'Stavební rozpočet'!K37</f>
        <v>0</v>
      </c>
      <c r="G13" s="76" t="s">
        <v>454</v>
      </c>
      <c r="H13" s="76">
        <f>IF(G13="F",0,F13)</f>
        <v>0</v>
      </c>
    </row>
    <row r="14" spans="1:8" ht="12.75">
      <c r="A14" s="37" t="s">
        <v>21</v>
      </c>
      <c r="B14" s="37" t="s">
        <v>217</v>
      </c>
      <c r="C14" s="19"/>
      <c r="D14" s="76">
        <f>'Stavební rozpočet'!I58</f>
        <v>0</v>
      </c>
      <c r="E14" s="76">
        <f>'Stavební rozpočet'!J58</f>
        <v>0</v>
      </c>
      <c r="F14" s="76">
        <f>'Stavební rozpočet'!K58</f>
        <v>0</v>
      </c>
      <c r="G14" s="76" t="s">
        <v>454</v>
      </c>
      <c r="H14" s="76">
        <f>IF(G14="F",0,F14)</f>
        <v>0</v>
      </c>
    </row>
    <row r="15" spans="1:8" ht="12.75">
      <c r="A15" s="37" t="s">
        <v>22</v>
      </c>
      <c r="B15" s="37" t="s">
        <v>227</v>
      </c>
      <c r="C15" s="19"/>
      <c r="D15" s="76">
        <f>'Stavební rozpočet'!I69</f>
        <v>0</v>
      </c>
      <c r="E15" s="76">
        <f>'Stavební rozpočet'!J69</f>
        <v>0</v>
      </c>
      <c r="F15" s="76">
        <f>'Stavební rozpočet'!K69</f>
        <v>0</v>
      </c>
      <c r="G15" s="76" t="s">
        <v>454</v>
      </c>
      <c r="H15" s="76">
        <f>IF(G15="F",0,F15)</f>
        <v>0</v>
      </c>
    </row>
    <row r="16" spans="1:8" ht="12.75">
      <c r="A16" s="37" t="s">
        <v>23</v>
      </c>
      <c r="B16" s="37" t="s">
        <v>236</v>
      </c>
      <c r="C16" s="19"/>
      <c r="D16" s="76">
        <f>'Stavební rozpočet'!I79</f>
        <v>0</v>
      </c>
      <c r="E16" s="76">
        <f>'Stavební rozpočet'!J79</f>
        <v>0</v>
      </c>
      <c r="F16" s="76">
        <f>'Stavební rozpočet'!K79</f>
        <v>0</v>
      </c>
      <c r="G16" s="76" t="s">
        <v>454</v>
      </c>
      <c r="H16" s="76">
        <f>IF(G16="F",0,F16)</f>
        <v>0</v>
      </c>
    </row>
    <row r="17" spans="1:8" ht="12.75">
      <c r="A17" s="37" t="s">
        <v>24</v>
      </c>
      <c r="B17" s="37" t="s">
        <v>243</v>
      </c>
      <c r="C17" s="19"/>
      <c r="D17" s="76">
        <f>'Stavební rozpočet'!I86</f>
        <v>0</v>
      </c>
      <c r="E17" s="76">
        <f>'Stavební rozpočet'!J86</f>
        <v>0</v>
      </c>
      <c r="F17" s="76">
        <f>'Stavební rozpočet'!K86</f>
        <v>0</v>
      </c>
      <c r="G17" s="76" t="s">
        <v>454</v>
      </c>
      <c r="H17" s="76">
        <f>IF(G17="F",0,F17)</f>
        <v>0</v>
      </c>
    </row>
    <row r="18" spans="1:8" ht="12.75">
      <c r="A18" s="37" t="s">
        <v>25</v>
      </c>
      <c r="B18" s="37" t="s">
        <v>252</v>
      </c>
      <c r="C18" s="19"/>
      <c r="D18" s="76">
        <f>'Stavební rozpočet'!I95</f>
        <v>0</v>
      </c>
      <c r="E18" s="76">
        <f>'Stavební rozpočet'!J95</f>
        <v>0</v>
      </c>
      <c r="F18" s="76">
        <f>'Stavební rozpočet'!K95</f>
        <v>0</v>
      </c>
      <c r="G18" s="76" t="s">
        <v>454</v>
      </c>
      <c r="H18" s="76">
        <f>IF(G18="F",0,F18)</f>
        <v>0</v>
      </c>
    </row>
    <row r="19" spans="1:8" ht="12.75">
      <c r="A19" s="37" t="s">
        <v>27</v>
      </c>
      <c r="B19" s="37" t="s">
        <v>255</v>
      </c>
      <c r="C19" s="19"/>
      <c r="D19" s="76">
        <f>'Stavební rozpočet'!I98</f>
        <v>0</v>
      </c>
      <c r="E19" s="76">
        <f>'Stavební rozpočet'!J98</f>
        <v>0</v>
      </c>
      <c r="F19" s="76">
        <f>'Stavební rozpočet'!K98</f>
        <v>0</v>
      </c>
      <c r="G19" s="76" t="s">
        <v>454</v>
      </c>
      <c r="H19" s="76">
        <f>IF(G19="F",0,F19)</f>
        <v>0</v>
      </c>
    </row>
    <row r="20" spans="1:8" ht="12.75">
      <c r="A20" s="37" t="s">
        <v>62</v>
      </c>
      <c r="B20" s="37" t="s">
        <v>259</v>
      </c>
      <c r="C20" s="19"/>
      <c r="D20" s="76">
        <f>'Stavební rozpočet'!I103</f>
        <v>0</v>
      </c>
      <c r="E20" s="76">
        <f>'Stavební rozpočet'!J103</f>
        <v>0</v>
      </c>
      <c r="F20" s="76">
        <f>'Stavební rozpočet'!K103</f>
        <v>0</v>
      </c>
      <c r="G20" s="76" t="s">
        <v>454</v>
      </c>
      <c r="H20" s="76">
        <f>IF(G20="F",0,F20)</f>
        <v>0</v>
      </c>
    </row>
    <row r="21" spans="1:8" ht="12.75">
      <c r="A21" s="37" t="s">
        <v>63</v>
      </c>
      <c r="B21" s="37" t="s">
        <v>271</v>
      </c>
      <c r="C21" s="19"/>
      <c r="D21" s="76">
        <f>'Stavební rozpočet'!I115</f>
        <v>0</v>
      </c>
      <c r="E21" s="76">
        <f>'Stavební rozpočet'!J115</f>
        <v>0</v>
      </c>
      <c r="F21" s="76">
        <f>'Stavební rozpočet'!K115</f>
        <v>0</v>
      </c>
      <c r="G21" s="76" t="s">
        <v>454</v>
      </c>
      <c r="H21" s="76">
        <f>IF(G21="F",0,F21)</f>
        <v>0</v>
      </c>
    </row>
    <row r="22" spans="1:8" ht="12.75">
      <c r="A22" s="37" t="s">
        <v>65</v>
      </c>
      <c r="B22" s="37" t="s">
        <v>277</v>
      </c>
      <c r="C22" s="19"/>
      <c r="D22" s="76">
        <f>'Stavební rozpočet'!I121</f>
        <v>0</v>
      </c>
      <c r="E22" s="76">
        <f>'Stavební rozpočet'!J121</f>
        <v>0</v>
      </c>
      <c r="F22" s="76">
        <f>'Stavební rozpočet'!K121</f>
        <v>0</v>
      </c>
      <c r="G22" s="76" t="s">
        <v>454</v>
      </c>
      <c r="H22" s="76">
        <f>IF(G22="F",0,F22)</f>
        <v>0</v>
      </c>
    </row>
    <row r="23" spans="1:8" ht="12.75">
      <c r="A23" s="37" t="s">
        <v>14</v>
      </c>
      <c r="B23" s="37" t="s">
        <v>289</v>
      </c>
      <c r="C23" s="19"/>
      <c r="D23" s="76">
        <f>'Stavební rozpočet'!I133</f>
        <v>0</v>
      </c>
      <c r="E23" s="76">
        <f>'Stavební rozpočet'!J133</f>
        <v>0</v>
      </c>
      <c r="F23" s="76">
        <f>'Stavební rozpočet'!K133</f>
        <v>0</v>
      </c>
      <c r="G23" s="76" t="s">
        <v>454</v>
      </c>
      <c r="H23" s="76">
        <f>IF(G23="F",0,F23)</f>
        <v>0</v>
      </c>
    </row>
    <row r="24" spans="1:8" ht="12.75">
      <c r="A24" s="37" t="s">
        <v>131</v>
      </c>
      <c r="B24" s="37" t="s">
        <v>291</v>
      </c>
      <c r="C24" s="19"/>
      <c r="D24" s="76">
        <f>'Stavební rozpočet'!I135</f>
        <v>0</v>
      </c>
      <c r="E24" s="76">
        <f>'Stavební rozpočet'!J135</f>
        <v>0</v>
      </c>
      <c r="F24" s="76">
        <f>'Stavební rozpočet'!K135</f>
        <v>0</v>
      </c>
      <c r="G24" s="76" t="s">
        <v>454</v>
      </c>
      <c r="H24" s="76">
        <f>IF(G24="F",0,F24)</f>
        <v>0</v>
      </c>
    </row>
    <row r="25" spans="1:8" ht="12.75">
      <c r="A25" s="37" t="s">
        <v>135</v>
      </c>
      <c r="B25" s="37" t="s">
        <v>303</v>
      </c>
      <c r="C25" s="19"/>
      <c r="D25" s="76">
        <f>'Stavební rozpočet'!I147</f>
        <v>0</v>
      </c>
      <c r="E25" s="76">
        <f>'Stavební rozpočet'!J147</f>
        <v>0</v>
      </c>
      <c r="F25" s="76">
        <f>'Stavební rozpočet'!K147</f>
        <v>0</v>
      </c>
      <c r="G25" s="76" t="s">
        <v>454</v>
      </c>
      <c r="H25" s="76">
        <f>IF(G25="F",0,F25)</f>
        <v>0</v>
      </c>
    </row>
    <row r="26" spans="1:8" ht="12.75">
      <c r="A26" s="37" t="s">
        <v>145</v>
      </c>
      <c r="B26" s="37" t="s">
        <v>321</v>
      </c>
      <c r="C26" s="19"/>
      <c r="D26" s="76">
        <f>'Stavební rozpočet'!I165</f>
        <v>0</v>
      </c>
      <c r="E26" s="76">
        <f>'Stavební rozpočet'!J165</f>
        <v>0</v>
      </c>
      <c r="F26" s="76">
        <f>'Stavební rozpočet'!K165</f>
        <v>0</v>
      </c>
      <c r="G26" s="76" t="s">
        <v>454</v>
      </c>
      <c r="H26" s="76">
        <f>IF(G26="F",0,F26)</f>
        <v>0</v>
      </c>
    </row>
    <row r="27" spans="1:8" ht="12.75">
      <c r="A27" s="37" t="s">
        <v>147</v>
      </c>
      <c r="B27" s="37" t="s">
        <v>324</v>
      </c>
      <c r="C27" s="19"/>
      <c r="D27" s="76">
        <f>'Stavební rozpočet'!I168</f>
        <v>0</v>
      </c>
      <c r="E27" s="76">
        <f>'Stavební rozpočet'!J168</f>
        <v>0</v>
      </c>
      <c r="F27" s="76">
        <f>'Stavební rozpočet'!K168</f>
        <v>0</v>
      </c>
      <c r="G27" s="76" t="s">
        <v>454</v>
      </c>
      <c r="H27" s="76">
        <f>IF(G27="F",0,F27)</f>
        <v>0</v>
      </c>
    </row>
    <row r="28" spans="1:8" ht="12.75">
      <c r="A28" s="37" t="s">
        <v>159</v>
      </c>
      <c r="B28" s="37" t="s">
        <v>351</v>
      </c>
      <c r="C28" s="19"/>
      <c r="D28" s="76">
        <f>'Stavební rozpočet'!I197</f>
        <v>0</v>
      </c>
      <c r="E28" s="76">
        <f>'Stavební rozpočet'!J197</f>
        <v>0</v>
      </c>
      <c r="F28" s="76">
        <f>'Stavební rozpočet'!K197</f>
        <v>0</v>
      </c>
      <c r="G28" s="76" t="s">
        <v>454</v>
      </c>
      <c r="H28" s="76">
        <f>IF(G28="F",0,F28)</f>
        <v>0</v>
      </c>
    </row>
    <row r="29" spans="1:8" ht="12.75">
      <c r="A29" s="37" t="s">
        <v>161</v>
      </c>
      <c r="B29" s="37" t="s">
        <v>353</v>
      </c>
      <c r="C29" s="19"/>
      <c r="D29" s="76">
        <f>'Stavební rozpočet'!I199</f>
        <v>0</v>
      </c>
      <c r="E29" s="76">
        <f>'Stavební rozpočet'!J199</f>
        <v>0</v>
      </c>
      <c r="F29" s="76">
        <f>'Stavební rozpočet'!K199</f>
        <v>0</v>
      </c>
      <c r="G29" s="76" t="s">
        <v>454</v>
      </c>
      <c r="H29" s="76">
        <f>IF(G29="F",0,F29)</f>
        <v>0</v>
      </c>
    </row>
    <row r="30" spans="1:8" ht="12.75">
      <c r="A30" s="37"/>
      <c r="B30" s="37" t="s">
        <v>369</v>
      </c>
      <c r="C30" s="19"/>
      <c r="D30" s="76">
        <f>'Stavební rozpočet'!I215</f>
        <v>0</v>
      </c>
      <c r="E30" s="76">
        <f>'Stavební rozpočet'!J215</f>
        <v>0</v>
      </c>
      <c r="F30" s="76">
        <f>'Stavební rozpočet'!K215</f>
        <v>0</v>
      </c>
      <c r="G30" s="76" t="s">
        <v>454</v>
      </c>
      <c r="H30" s="76">
        <f>IF(G30="F",0,F30)</f>
        <v>0</v>
      </c>
    </row>
    <row r="32" spans="5:6" ht="12.75">
      <c r="E32" s="87" t="s">
        <v>402</v>
      </c>
      <c r="F32" s="89">
        <f>SUM(H11:H30)</f>
        <v>0</v>
      </c>
    </row>
  </sheetData>
  <mergeCells count="38">
    <mergeCell ref="A1:F1"/>
    <mergeCell ref="A2:A3"/>
    <mergeCell ref="B2:C3"/>
    <mergeCell ref="D2:D3"/>
    <mergeCell ref="E2:F3"/>
    <mergeCell ref="A4:A5"/>
    <mergeCell ref="B4:C5"/>
    <mergeCell ref="D4:D5"/>
    <mergeCell ref="E4:F5"/>
    <mergeCell ref="A6:A7"/>
    <mergeCell ref="B6:C7"/>
    <mergeCell ref="D6:D7"/>
    <mergeCell ref="E6:F7"/>
    <mergeCell ref="A8:A9"/>
    <mergeCell ref="B8:C9"/>
    <mergeCell ref="D8:D9"/>
    <mergeCell ref="E8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2.8515625" customWidth="1"/>
    <col min="9" max="9" width="22.8515625" customWidth="1"/>
  </cols>
  <sheetData>
    <row r="1" spans="1:9" ht="72.75" customHeight="1">
      <c r="A1" s="132"/>
      <c r="B1" s="13"/>
      <c r="C1" s="112" t="s">
        <v>469</v>
      </c>
      <c r="D1" s="17"/>
      <c r="E1" s="17"/>
      <c r="F1" s="17"/>
      <c r="G1" s="17"/>
      <c r="H1" s="17"/>
      <c r="I1" s="17"/>
    </row>
    <row r="2" spans="1:10" ht="12.75">
      <c r="A2" s="3" t="s">
        <v>1</v>
      </c>
      <c r="B2" s="18"/>
      <c r="C2" s="27" t="str">
        <f>'Stavební rozpočet'!C2</f>
        <v>Ulice Husova, Hybešova - parkovací stání</v>
      </c>
      <c r="D2" s="62"/>
      <c r="E2" s="54" t="s">
        <v>391</v>
      </c>
      <c r="F2" s="54" t="str">
        <f>'Stavební rozpočet'!I2</f>
        <v>Město Šlapanice</v>
      </c>
      <c r="G2" s="18"/>
      <c r="H2" s="54" t="s">
        <v>494</v>
      </c>
      <c r="I2" s="126"/>
      <c r="J2" s="74"/>
    </row>
    <row r="3" spans="1:10" ht="12.75">
      <c r="A3" s="4"/>
      <c r="B3" s="19"/>
      <c r="C3" s="28"/>
      <c r="D3" s="28"/>
      <c r="E3" s="19"/>
      <c r="F3" s="19"/>
      <c r="G3" s="19"/>
      <c r="H3" s="19"/>
      <c r="I3" s="66"/>
      <c r="J3" s="74"/>
    </row>
    <row r="4" spans="1:10" ht="12.75">
      <c r="A4" s="5" t="s">
        <v>2</v>
      </c>
      <c r="B4" s="19"/>
      <c r="C4" s="16" t="str">
        <f>'Stavební rozpočet'!C4</f>
        <v>SO01 Ulice Husova</v>
      </c>
      <c r="D4" s="19"/>
      <c r="E4" s="16" t="s">
        <v>392</v>
      </c>
      <c r="F4" s="16" t="str">
        <f>'Stavební rozpočet'!I4</f>
        <v>Matula, projekční kancelář, Šumavská 15, Brno, 602</v>
      </c>
      <c r="G4" s="19"/>
      <c r="H4" s="16" t="s">
        <v>494</v>
      </c>
      <c r="I4" s="127"/>
      <c r="J4" s="74"/>
    </row>
    <row r="5" spans="1:10" ht="12.75">
      <c r="A5" s="4"/>
      <c r="B5" s="19"/>
      <c r="C5" s="19"/>
      <c r="D5" s="19"/>
      <c r="E5" s="19"/>
      <c r="F5" s="19"/>
      <c r="G5" s="19"/>
      <c r="H5" s="19"/>
      <c r="I5" s="66"/>
      <c r="J5" s="74"/>
    </row>
    <row r="6" spans="1:10" ht="12.75">
      <c r="A6" s="5" t="s">
        <v>3</v>
      </c>
      <c r="B6" s="19"/>
      <c r="C6" s="16" t="str">
        <f>'Stavební rozpočet'!C6</f>
        <v>Šlapanice</v>
      </c>
      <c r="D6" s="19"/>
      <c r="E6" s="16" t="s">
        <v>393</v>
      </c>
      <c r="F6" s="16">
        <f>'Stavební rozpočet'!I6</f>
        <v>0</v>
      </c>
      <c r="G6" s="19"/>
      <c r="H6" s="16" t="s">
        <v>494</v>
      </c>
      <c r="I6" s="127"/>
      <c r="J6" s="74"/>
    </row>
    <row r="7" spans="1:10" ht="12.75">
      <c r="A7" s="4"/>
      <c r="B7" s="19"/>
      <c r="C7" s="19"/>
      <c r="D7" s="19"/>
      <c r="E7" s="19"/>
      <c r="F7" s="19"/>
      <c r="G7" s="19"/>
      <c r="H7" s="19"/>
      <c r="I7" s="66"/>
      <c r="J7" s="74"/>
    </row>
    <row r="8" spans="1:10" ht="12.75">
      <c r="A8" s="5" t="s">
        <v>379</v>
      </c>
      <c r="B8" s="19"/>
      <c r="C8" s="16" t="str">
        <f>'Stavební rozpočet'!F4</f>
        <v> </v>
      </c>
      <c r="D8" s="19"/>
      <c r="E8" s="16" t="s">
        <v>380</v>
      </c>
      <c r="F8" s="16" t="str">
        <f>'Stavební rozpočet'!F6</f>
        <v> </v>
      </c>
      <c r="G8" s="19"/>
      <c r="H8" s="37" t="s">
        <v>495</v>
      </c>
      <c r="I8" s="127" t="s">
        <v>84</v>
      </c>
      <c r="J8" s="74"/>
    </row>
    <row r="9" spans="1:10" ht="12.75">
      <c r="A9" s="4"/>
      <c r="B9" s="19"/>
      <c r="C9" s="19"/>
      <c r="D9" s="19"/>
      <c r="E9" s="19"/>
      <c r="F9" s="19"/>
      <c r="G9" s="19"/>
      <c r="H9" s="19"/>
      <c r="I9" s="66"/>
      <c r="J9" s="74"/>
    </row>
    <row r="10" spans="1:10" ht="12.75">
      <c r="A10" s="5" t="s">
        <v>4</v>
      </c>
      <c r="B10" s="19"/>
      <c r="C10" s="16">
        <f>'Stavební rozpočet'!C8</f>
        <v>0</v>
      </c>
      <c r="D10" s="19"/>
      <c r="E10" s="16" t="s">
        <v>394</v>
      </c>
      <c r="F10" s="16" t="str">
        <f>'Stavební rozpočet'!I8</f>
        <v>Ing. Krejčíková</v>
      </c>
      <c r="G10" s="19"/>
      <c r="H10" s="37" t="s">
        <v>496</v>
      </c>
      <c r="I10" s="131" t="str">
        <f>'Stavební rozpočet'!F8</f>
        <v>04.04.2018</v>
      </c>
      <c r="J10" s="74"/>
    </row>
    <row r="11" spans="1:10" ht="12.75">
      <c r="A11" s="90"/>
      <c r="B11" s="102"/>
      <c r="C11" s="102"/>
      <c r="D11" s="102"/>
      <c r="E11" s="102"/>
      <c r="F11" s="102"/>
      <c r="G11" s="102"/>
      <c r="H11" s="102"/>
      <c r="I11" s="128"/>
      <c r="J11" s="74"/>
    </row>
    <row r="12" spans="1:9" ht="23.25" customHeight="1">
      <c r="A12" s="91" t="s">
        <v>455</v>
      </c>
      <c r="B12" s="103"/>
      <c r="C12" s="103"/>
      <c r="D12" s="103"/>
      <c r="E12" s="103"/>
      <c r="F12" s="103"/>
      <c r="G12" s="103"/>
      <c r="H12" s="103"/>
      <c r="I12" s="103"/>
    </row>
    <row r="13" spans="1:10" ht="26.25" customHeight="1">
      <c r="A13" s="92" t="s">
        <v>456</v>
      </c>
      <c r="B13" s="104" t="s">
        <v>467</v>
      </c>
      <c r="C13" s="113"/>
      <c r="D13" s="92" t="s">
        <v>470</v>
      </c>
      <c r="E13" s="104" t="s">
        <v>479</v>
      </c>
      <c r="F13" s="113"/>
      <c r="G13" s="92" t="s">
        <v>480</v>
      </c>
      <c r="H13" s="104" t="s">
        <v>497</v>
      </c>
      <c r="I13" s="113"/>
      <c r="J13" s="74"/>
    </row>
    <row r="14" spans="1:10" ht="15" customHeight="1">
      <c r="A14" s="93" t="s">
        <v>457</v>
      </c>
      <c r="B14" s="105" t="s">
        <v>468</v>
      </c>
      <c r="C14" s="121">
        <f>SUM('Stavební rozpočet'!AB12:AB223)</f>
        <v>0</v>
      </c>
      <c r="D14" s="118" t="s">
        <v>471</v>
      </c>
      <c r="E14" s="120"/>
      <c r="F14" s="121">
        <v>0</v>
      </c>
      <c r="G14" s="118" t="s">
        <v>481</v>
      </c>
      <c r="H14" s="120"/>
      <c r="I14" s="121">
        <v>0</v>
      </c>
      <c r="J14" s="74"/>
    </row>
    <row r="15" spans="1:10" ht="15" customHeight="1">
      <c r="A15" s="94"/>
      <c r="B15" s="105" t="s">
        <v>403</v>
      </c>
      <c r="C15" s="121">
        <f>SUM('Stavební rozpočet'!AC12:AC223)</f>
        <v>0</v>
      </c>
      <c r="D15" s="118" t="s">
        <v>472</v>
      </c>
      <c r="E15" s="120"/>
      <c r="F15" s="121">
        <v>0</v>
      </c>
      <c r="G15" s="118" t="s">
        <v>482</v>
      </c>
      <c r="H15" s="120"/>
      <c r="I15" s="121">
        <v>0</v>
      </c>
      <c r="J15" s="74"/>
    </row>
    <row r="16" spans="1:10" ht="15" customHeight="1">
      <c r="A16" s="93" t="s">
        <v>458</v>
      </c>
      <c r="B16" s="105" t="s">
        <v>468</v>
      </c>
      <c r="C16" s="121">
        <f>SUM('Stavební rozpočet'!AD12:AD223)</f>
        <v>0</v>
      </c>
      <c r="D16" s="118" t="s">
        <v>473</v>
      </c>
      <c r="E16" s="120"/>
      <c r="F16" s="121">
        <v>0</v>
      </c>
      <c r="G16" s="118" t="s">
        <v>483</v>
      </c>
      <c r="H16" s="120"/>
      <c r="I16" s="121">
        <v>0</v>
      </c>
      <c r="J16" s="74"/>
    </row>
    <row r="17" spans="1:10" ht="15" customHeight="1">
      <c r="A17" s="94"/>
      <c r="B17" s="105" t="s">
        <v>403</v>
      </c>
      <c r="C17" s="121">
        <f>SUM('Stavební rozpočet'!AE12:AE223)</f>
        <v>0</v>
      </c>
      <c r="D17" s="118"/>
      <c r="E17" s="120"/>
      <c r="F17" s="122"/>
      <c r="G17" s="118" t="s">
        <v>484</v>
      </c>
      <c r="H17" s="120"/>
      <c r="I17" s="121">
        <v>0</v>
      </c>
      <c r="J17" s="74"/>
    </row>
    <row r="18" spans="1:10" ht="15" customHeight="1">
      <c r="A18" s="93" t="s">
        <v>459</v>
      </c>
      <c r="B18" s="105" t="s">
        <v>468</v>
      </c>
      <c r="C18" s="121">
        <f>SUM('Stavební rozpočet'!AF12:AF223)</f>
        <v>0</v>
      </c>
      <c r="D18" s="118"/>
      <c r="E18" s="120"/>
      <c r="F18" s="122"/>
      <c r="G18" s="118" t="s">
        <v>485</v>
      </c>
      <c r="H18" s="120"/>
      <c r="I18" s="121">
        <v>0</v>
      </c>
      <c r="J18" s="74"/>
    </row>
    <row r="19" spans="1:10" ht="15" customHeight="1">
      <c r="A19" s="94"/>
      <c r="B19" s="105" t="s">
        <v>403</v>
      </c>
      <c r="C19" s="121">
        <f>SUM('Stavební rozpočet'!AG12:AG223)</f>
        <v>0</v>
      </c>
      <c r="D19" s="118"/>
      <c r="E19" s="120"/>
      <c r="F19" s="122"/>
      <c r="G19" s="118" t="s">
        <v>486</v>
      </c>
      <c r="H19" s="120"/>
      <c r="I19" s="121">
        <v>0</v>
      </c>
      <c r="J19" s="74"/>
    </row>
    <row r="20" spans="1:10" ht="15" customHeight="1">
      <c r="A20" s="95" t="s">
        <v>369</v>
      </c>
      <c r="B20" s="106"/>
      <c r="C20" s="121">
        <f>SUM('Stavební rozpočet'!AH12:AH223)</f>
        <v>0</v>
      </c>
      <c r="D20" s="118"/>
      <c r="E20" s="120"/>
      <c r="F20" s="122"/>
      <c r="G20" s="118"/>
      <c r="H20" s="120"/>
      <c r="I20" s="122"/>
      <c r="J20" s="74"/>
    </row>
    <row r="21" spans="1:10" ht="15" customHeight="1">
      <c r="A21" s="95" t="s">
        <v>460</v>
      </c>
      <c r="B21" s="106"/>
      <c r="C21" s="121">
        <f>SUM('Stavební rozpočet'!Z12:Z223)</f>
        <v>0</v>
      </c>
      <c r="D21" s="118"/>
      <c r="E21" s="120"/>
      <c r="F21" s="122"/>
      <c r="G21" s="118"/>
      <c r="H21" s="120"/>
      <c r="I21" s="122"/>
      <c r="J21" s="74"/>
    </row>
    <row r="22" spans="1:10" ht="16.5" customHeight="1">
      <c r="A22" s="95" t="s">
        <v>461</v>
      </c>
      <c r="B22" s="106"/>
      <c r="C22" s="121">
        <f>SUM(C14:C21)</f>
        <v>0</v>
      </c>
      <c r="D22" s="95" t="s">
        <v>474</v>
      </c>
      <c r="E22" s="106"/>
      <c r="F22" s="121">
        <f>SUM(F14:F21)</f>
        <v>0</v>
      </c>
      <c r="G22" s="95" t="s">
        <v>487</v>
      </c>
      <c r="H22" s="106"/>
      <c r="I22" s="121">
        <f>SUM(I14:I21)</f>
        <v>0</v>
      </c>
      <c r="J22" s="74"/>
    </row>
    <row r="23" spans="1:10" ht="15" customHeight="1">
      <c r="A23" s="14"/>
      <c r="B23" s="14"/>
      <c r="C23" s="114"/>
      <c r="D23" s="95" t="s">
        <v>475</v>
      </c>
      <c r="E23" s="106"/>
      <c r="F23" s="123">
        <v>0</v>
      </c>
      <c r="G23" s="95" t="s">
        <v>488</v>
      </c>
      <c r="H23" s="106"/>
      <c r="I23" s="121">
        <v>0</v>
      </c>
      <c r="J23" s="74"/>
    </row>
    <row r="24" spans="4:9" ht="15" customHeight="1">
      <c r="D24" s="14"/>
      <c r="E24" s="14"/>
      <c r="F24" s="124"/>
      <c r="G24" s="95" t="s">
        <v>489</v>
      </c>
      <c r="H24" s="106"/>
      <c r="I24" s="129"/>
    </row>
    <row r="25" spans="6:10" ht="15" customHeight="1">
      <c r="F25" s="125"/>
      <c r="G25" s="95" t="s">
        <v>490</v>
      </c>
      <c r="H25" s="106"/>
      <c r="I25" s="121">
        <v>0</v>
      </c>
      <c r="J25" s="74"/>
    </row>
    <row r="26" spans="1:9" ht="12.75">
      <c r="A26" s="13"/>
      <c r="B26" s="13"/>
      <c r="C26" s="13"/>
      <c r="G26" s="14"/>
      <c r="H26" s="14"/>
      <c r="I26" s="14"/>
    </row>
    <row r="27" spans="1:9" ht="15" customHeight="1">
      <c r="A27" s="96" t="s">
        <v>462</v>
      </c>
      <c r="B27" s="107"/>
      <c r="C27" s="130">
        <f>SUM('Stavební rozpočet'!AJ12:AJ223)</f>
        <v>0</v>
      </c>
      <c r="D27" s="119"/>
      <c r="E27" s="13"/>
      <c r="F27" s="13"/>
      <c r="G27" s="13"/>
      <c r="H27" s="13"/>
      <c r="I27" s="13"/>
    </row>
    <row r="28" spans="1:10" ht="15" customHeight="1">
      <c r="A28" s="96" t="s">
        <v>463</v>
      </c>
      <c r="B28" s="107"/>
      <c r="C28" s="130">
        <f>SUM('Stavební rozpočet'!AK12:AK223)</f>
        <v>0</v>
      </c>
      <c r="D28" s="96" t="s">
        <v>476</v>
      </c>
      <c r="E28" s="107"/>
      <c r="F28" s="130">
        <f>ROUND(C28*(15/100),2)</f>
        <v>0</v>
      </c>
      <c r="G28" s="96" t="s">
        <v>491</v>
      </c>
      <c r="H28" s="107"/>
      <c r="I28" s="130">
        <f>SUM(C27:C29)</f>
        <v>0</v>
      </c>
      <c r="J28" s="74"/>
    </row>
    <row r="29" spans="1:10" ht="15" customHeight="1">
      <c r="A29" s="96" t="s">
        <v>464</v>
      </c>
      <c r="B29" s="107"/>
      <c r="C29" s="130">
        <f>SUM('Stavební rozpočet'!AL12:AL223)+(F22+I22+F23+I23+I24+I25)</f>
        <v>0</v>
      </c>
      <c r="D29" s="96" t="s">
        <v>477</v>
      </c>
      <c r="E29" s="107"/>
      <c r="F29" s="130">
        <f>ROUND(C29*(21/100),2)</f>
        <v>0</v>
      </c>
      <c r="G29" s="96" t="s">
        <v>492</v>
      </c>
      <c r="H29" s="107"/>
      <c r="I29" s="130">
        <f>SUM(F28:F29)+I28</f>
        <v>0</v>
      </c>
      <c r="J29" s="74"/>
    </row>
    <row r="30" spans="1:9" ht="12.75">
      <c r="A30" s="97"/>
      <c r="B30" s="97"/>
      <c r="C30" s="97"/>
      <c r="D30" s="97"/>
      <c r="E30" s="97"/>
      <c r="F30" s="97"/>
      <c r="G30" s="97"/>
      <c r="H30" s="97"/>
      <c r="I30" s="97"/>
    </row>
    <row r="31" spans="1:10" ht="14.25" customHeight="1">
      <c r="A31" s="98" t="s">
        <v>465</v>
      </c>
      <c r="B31" s="108"/>
      <c r="C31" s="115"/>
      <c r="D31" s="98" t="s">
        <v>478</v>
      </c>
      <c r="E31" s="108"/>
      <c r="F31" s="115"/>
      <c r="G31" s="98" t="s">
        <v>493</v>
      </c>
      <c r="H31" s="108"/>
      <c r="I31" s="115"/>
      <c r="J31" s="75"/>
    </row>
    <row r="32" spans="1:10" ht="14.25" customHeight="1">
      <c r="A32" s="99"/>
      <c r="B32" s="109"/>
      <c r="C32" s="116"/>
      <c r="D32" s="99"/>
      <c r="E32" s="109"/>
      <c r="F32" s="116"/>
      <c r="G32" s="99"/>
      <c r="H32" s="109"/>
      <c r="I32" s="116"/>
      <c r="J32" s="75"/>
    </row>
    <row r="33" spans="1:10" ht="14.25" customHeight="1">
      <c r="A33" s="99"/>
      <c r="B33" s="109"/>
      <c r="C33" s="116"/>
      <c r="D33" s="99"/>
      <c r="E33" s="109"/>
      <c r="F33" s="116"/>
      <c r="G33" s="99"/>
      <c r="H33" s="109"/>
      <c r="I33" s="116"/>
      <c r="J33" s="75"/>
    </row>
    <row r="34" spans="1:10" ht="14.25" customHeight="1">
      <c r="A34" s="99"/>
      <c r="B34" s="109"/>
      <c r="C34" s="116"/>
      <c r="D34" s="99"/>
      <c r="E34" s="109"/>
      <c r="F34" s="116"/>
      <c r="G34" s="99"/>
      <c r="H34" s="109"/>
      <c r="I34" s="116"/>
      <c r="J34" s="75"/>
    </row>
    <row r="35" spans="1:10" ht="14.25" customHeight="1">
      <c r="A35" s="100" t="s">
        <v>466</v>
      </c>
      <c r="B35" s="110"/>
      <c r="C35" s="117"/>
      <c r="D35" s="100" t="s">
        <v>466</v>
      </c>
      <c r="E35" s="110"/>
      <c r="F35" s="117"/>
      <c r="G35" s="100" t="s">
        <v>466</v>
      </c>
      <c r="H35" s="110"/>
      <c r="I35" s="117"/>
      <c r="J35" s="75"/>
    </row>
    <row r="36" spans="1:9" ht="11.25" customHeight="1">
      <c r="A36" s="101" t="s">
        <v>85</v>
      </c>
      <c r="B36" s="111"/>
      <c r="C36" s="111"/>
      <c r="D36" s="111"/>
      <c r="E36" s="111"/>
      <c r="F36" s="111"/>
      <c r="G36" s="111"/>
      <c r="H36" s="111"/>
      <c r="I36" s="111"/>
    </row>
    <row r="37" spans="1:9" ht="12.75">
      <c r="A37" s="16"/>
      <c r="B37" s="19"/>
      <c r="C37" s="19"/>
      <c r="D37" s="19"/>
      <c r="E37" s="19"/>
      <c r="F37" s="19"/>
      <c r="G37" s="19"/>
      <c r="H37" s="19"/>
      <c r="I37" s="19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