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<sst xmlns="http://schemas.openxmlformats.org/spreadsheetml/2006/main" count="1106" uniqueCount="484">
  <si>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</si>
  <si>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</si>
  <si>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</si>
  <si>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</si>
  <si>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</si>
  <si>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</si>
  <si>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</si>
  <si>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</si>
  <si>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</si>
  <si>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</si>
  <si>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</si>
  <si>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</si>
  <si>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</si>
  <si>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</si>
  <si>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</si>
  <si>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</si>
  <si>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</si>
  <si>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</si>
  <si>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</si>
  <si>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</si>
  <si>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</si>
  <si>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</si>
  <si>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</si>
  <si>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</si>
  <si>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</si>
  <si>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</si>
  <si>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</si>
  <si>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</si>
  <si>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</si>
  <si>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</si>
  <si>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</si>
  <si>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</si>
  <si>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</si>
  <si>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</si>
  <si>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</si>
  <si>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</si>
  <si>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</si>
  <si>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</si>
  <si>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</si>
  <si>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</si>
  <si>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</si>
  <si>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</si>
  <si>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</si>
  <si>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</si>
  <si>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</si>
  <si>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</si>
  <si>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</si>
  <si>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</si>
  <si>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</si>
  <si>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</si>
  <si>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</si>
  <si>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</si>
  <si>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</si>
  <si>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</si>
  <si>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</si>
  <si>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</si>
  <si>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</si>
  <si>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</si>
  <si>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</si>
  <si>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</si>
  <si>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</si>
  <si>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</si>
  <si>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</si>
  <si>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</si>
  <si>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</si>
  <si>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</si>
  <si>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</si>
  <si>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</si>
  <si>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</si>
  <si>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</si>
  <si>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</si>
  <si>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</si>
  <si>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</si>
  <si>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</si>
  <si>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</si>
  <si>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</si>
  <si>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</si>
  <si>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</si>
  <si>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</si>
  <si>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</si>
  <si>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</si>
  <si>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</si>
  <si>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Poznámka:</t>
  </si>
  <si>
    <t>Kód</t>
  </si>
  <si>
    <t>113106121R00</t>
  </si>
  <si>
    <t>RTS komentář:</t>
  </si>
  <si>
    <t>113107610R00</t>
  </si>
  <si>
    <t>113107615R00</t>
  </si>
  <si>
    <t>113107630R00</t>
  </si>
  <si>
    <t>113108410R00</t>
  </si>
  <si>
    <t>113151314R00</t>
  </si>
  <si>
    <t>113202111R00</t>
  </si>
  <si>
    <t>121101103R00</t>
  </si>
  <si>
    <t>122202202R00</t>
  </si>
  <si>
    <t>122202209R00</t>
  </si>
  <si>
    <t>133201101R00</t>
  </si>
  <si>
    <t>133201109R00</t>
  </si>
  <si>
    <t>132201212R00</t>
  </si>
  <si>
    <t>132201219R00</t>
  </si>
  <si>
    <t>132201110R00</t>
  </si>
  <si>
    <t>132201119R00</t>
  </si>
  <si>
    <t>151101101R00</t>
  </si>
  <si>
    <t>151101111R00</t>
  </si>
  <si>
    <t>151101102R00</t>
  </si>
  <si>
    <t>151101112R00</t>
  </si>
  <si>
    <t>162301101R00</t>
  </si>
  <si>
    <t>162701105R00</t>
  </si>
  <si>
    <t>167101101R00</t>
  </si>
  <si>
    <t>174101101R00</t>
  </si>
  <si>
    <t>171101102R00</t>
  </si>
  <si>
    <t>181101101R00</t>
  </si>
  <si>
    <t>181101102R00</t>
  </si>
  <si>
    <t>183405211R00</t>
  </si>
  <si>
    <t>181301103R00</t>
  </si>
  <si>
    <t>199000002R00</t>
  </si>
  <si>
    <t>212792112R00</t>
  </si>
  <si>
    <t>212561111R00</t>
  </si>
  <si>
    <t>564851111R00</t>
  </si>
  <si>
    <t>564861111R00</t>
  </si>
  <si>
    <t>565151211R00</t>
  </si>
  <si>
    <t>565161211R00</t>
  </si>
  <si>
    <t>567123114R00</t>
  </si>
  <si>
    <t>573211111R00</t>
  </si>
  <si>
    <t>577142112R00</t>
  </si>
  <si>
    <t>596215021R00</t>
  </si>
  <si>
    <t>59245110</t>
  </si>
  <si>
    <t>592451151</t>
  </si>
  <si>
    <t>83</t>
  </si>
  <si>
    <t>831312121R00</t>
  </si>
  <si>
    <t>59710632</t>
  </si>
  <si>
    <t>597109450</t>
  </si>
  <si>
    <t>89</t>
  </si>
  <si>
    <t>895941311RT2</t>
  </si>
  <si>
    <t>899201111RT2</t>
  </si>
  <si>
    <t>899202111R00</t>
  </si>
  <si>
    <t>500-005VD</t>
  </si>
  <si>
    <t>899623141R00</t>
  </si>
  <si>
    <t>899431111R00</t>
  </si>
  <si>
    <t>899432111R00</t>
  </si>
  <si>
    <t>899331111R00</t>
  </si>
  <si>
    <t>90</t>
  </si>
  <si>
    <t>900-020VDVD</t>
  </si>
  <si>
    <t>91</t>
  </si>
  <si>
    <t>917862111R00</t>
  </si>
  <si>
    <t>59217003</t>
  </si>
  <si>
    <t>59217010</t>
  </si>
  <si>
    <t>918101111R00</t>
  </si>
  <si>
    <t>919735113R00</t>
  </si>
  <si>
    <t>914001121R00</t>
  </si>
  <si>
    <t>914001125R00</t>
  </si>
  <si>
    <t>40445050.A</t>
  </si>
  <si>
    <t>40445141.A</t>
  </si>
  <si>
    <t>915711111R00</t>
  </si>
  <si>
    <t>915721111R00</t>
  </si>
  <si>
    <t>960</t>
  </si>
  <si>
    <t>960-002VD</t>
  </si>
  <si>
    <t>S</t>
  </si>
  <si>
    <t>979082213R00</t>
  </si>
  <si>
    <t>979082219R00</t>
  </si>
  <si>
    <t>979084216R00</t>
  </si>
  <si>
    <t>979084219R00</t>
  </si>
  <si>
    <t>979990001R00</t>
  </si>
  <si>
    <t>979990112R00</t>
  </si>
  <si>
    <t>998225111R00</t>
  </si>
  <si>
    <t>59223819.A</t>
  </si>
  <si>
    <t>59711538</t>
  </si>
  <si>
    <t>Ulice Husova, Hybešova - parkovací stání</t>
  </si>
  <si>
    <t>SO01 Ulice Husova</t>
  </si>
  <si>
    <t>Šlapanice</t>
  </si>
  <si>
    <t>Zkrácený popis / Varianta</t>
  </si>
  <si>
    <t>Rozměry</t>
  </si>
  <si>
    <t>Přípravné a přidružené práce</t>
  </si>
  <si>
    <t>Rozebrání dlažeb z betonových dlaždic na sucho</t>
  </si>
  <si>
    <t>41   předláždění chodníků</t>
  </si>
  <si>
    <t>Položka není určena pro rozebrání dlažeb uložených do betonového lože a pro rozebrání dlažeb z mozaiky uložených do cementové malty.V položce nejsou zakalkulovány náklady na popř. nutné očištění vybouraných betonových dlaždic.</t>
  </si>
  <si>
    <t>Odstranění podkladu nad 50 m2,kam.drcené tl.10 cm</t>
  </si>
  <si>
    <t>54,1   podkl. vrstvy vozovky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</si>
  <si>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</t>
  </si>
  <si>
    <t>Odstranění podkladu nad 50 m2,kam.drcené tl.15 cm</t>
  </si>
  <si>
    <t>41   podkl. vrstva chodníku</t>
  </si>
  <si>
    <t>Odstranění podkladu nad 50 m2,kam.drcené tl.30 cm</t>
  </si>
  <si>
    <t>50   podkl.vrstvy vozovky</t>
  </si>
  <si>
    <t>Odstranění podkladu pl. nad 50 m2, živice tl.10 cm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</si>
  <si>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samostatně.</t>
  </si>
  <si>
    <t>Fréz.živič.krytu nad 500 m2, s překážkami, tl.5 cm</t>
  </si>
  <si>
    <t>Vytrhání obrub z krajníků nebo obrubníků stojatých</t>
  </si>
  <si>
    <t>Odkopávky a prokopávky</t>
  </si>
  <si>
    <t>Sejmutí ornice s přemístěním přes 100 do 250 m</t>
  </si>
  <si>
    <t>121*0,2</t>
  </si>
  <si>
    <t>V položce je obsaženo i uložení na dočasnou skládku v příslušné vzdálenosti, pokud na 1 m2 skládky nepřipadá více jak 2 m3 ornice. V opačném případě se uložení musí dokalkulovat.</t>
  </si>
  <si>
    <t>Odkopávky pro silnice v hor. 3 do 1000 m3</t>
  </si>
  <si>
    <t>Příplatek za lepivost - odkop. pro silnice v hor.3</t>
  </si>
  <si>
    <t>88*0,5</t>
  </si>
  <si>
    <t>Do měrných jednotek se udává poměrné množství zeminy, které ulpí v nářadí a o které je snížen celkový výkon stroje.</t>
  </si>
  <si>
    <t>Hloubené vykopávky</t>
  </si>
  <si>
    <t>Hloubení šachet v hor.3 do 100 m3</t>
  </si>
  <si>
    <t>2*1,5*1,5*2,8   UV</t>
  </si>
  <si>
    <t>1,5*1,5*(1,8+2,1)   DV</t>
  </si>
  <si>
    <t>V položce je kalkulováno i svislé přemístění výkopku.</t>
  </si>
  <si>
    <t>Příplatek za lepivost - hloubení šachet v hor.3</t>
  </si>
  <si>
    <t>21,375*0,5</t>
  </si>
  <si>
    <t>Hloubení rýh š.do 200 cm hor.3 do 1000m3,STROJNĚ</t>
  </si>
  <si>
    <t>1,2*7,6*1,6+1,2*7,6*2,2   přípojky UV</t>
  </si>
  <si>
    <t>1,2*1,6*1,6+1,2*1,6*2,3   přípojky DV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</si>
  <si>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</si>
  <si>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Příplatek za lepivost - hloubení rýh 200cm v hor.3</t>
  </si>
  <si>
    <t>42,1*0,5</t>
  </si>
  <si>
    <t>Hloubení rýh š.do 60 cm v hor.3 do 50 m3, STROJNĚ</t>
  </si>
  <si>
    <t>0,35*0,25*88   drenáž</t>
  </si>
  <si>
    <t>Přípl.za lepivost,hloubení rýh 60 cm,hor.3,STROJNĚ</t>
  </si>
  <si>
    <t>7,7*0,5</t>
  </si>
  <si>
    <t>Roubení</t>
  </si>
  <si>
    <t>Pažení a rozepření stěn rýh - příložné - hl. do 2m</t>
  </si>
  <si>
    <t>2*(7,6*1,6+7,6*2,2)   přípojky UV</t>
  </si>
  <si>
    <t>2*(1,6*1,6+1,6*2,3)   přípojky DV</t>
  </si>
  <si>
    <t>Odstranění pažení a rozepření se oceňuje samostatně.</t>
  </si>
  <si>
    <t>Odstranění pažení stěn rýh - příložné - hl. do 2 m</t>
  </si>
  <si>
    <t>Pažení a rozepření stěn rýh - příložné - hl. do 4m</t>
  </si>
  <si>
    <t>1,5*2,8*4*2   UV</t>
  </si>
  <si>
    <t>1,5*1,8*4+1,5*2,1*4   DV</t>
  </si>
  <si>
    <t>Odstranění pažení stěn rýh - příložné - hl. do 4 m</t>
  </si>
  <si>
    <t>Přemístění výkopku</t>
  </si>
  <si>
    <t>Vodorovné přemístění výkopku z hor.1-4 do 500 m</t>
  </si>
  <si>
    <t>13,1   ornice</t>
  </si>
  <si>
    <t>Vodorovné přemístění výkopku z hor.1-4 do 10000 m</t>
  </si>
  <si>
    <t>88   odkopávky</t>
  </si>
  <si>
    <t>42,1+21,4+7,7   rýhy a šachty</t>
  </si>
  <si>
    <t>-27,2   násypy</t>
  </si>
  <si>
    <t>-53,5   zásypy</t>
  </si>
  <si>
    <t>Nakládání výkopku z hor.1-4 v množství do 100 m3</t>
  </si>
  <si>
    <t>Konstrukce ze zemin</t>
  </si>
  <si>
    <t>Zásyp jam, rýh, šachet se zhutněním</t>
  </si>
  <si>
    <t>42,1-1,2*0,3*(7,6+1,6)*2    přípojky DV</t>
  </si>
  <si>
    <t>21,4-2*0,6*0,6*2,78-0,6*0,6*(1,8+2,1)    DV</t>
  </si>
  <si>
    <t>Položka obsahuje strojní přemístění materiálu pro zásyp ze vzdálenosti do 10 m od okraje zásypu.</t>
  </si>
  <si>
    <t>Uložení sypaniny do násypů zhutněných na 96% PS</t>
  </si>
  <si>
    <t>Položka se používá pro násypy z hornin soudržných.</t>
  </si>
  <si>
    <t>Povrchové úpravy terénu</t>
  </si>
  <si>
    <t>Úprava pláně v zářezech v hor. 1-4, bez zhutnění</t>
  </si>
  <si>
    <t>222*0,5+10+10</t>
  </si>
  <si>
    <t>Úprava pláně v zářezech v hor. 1-4, se zhutněním</t>
  </si>
  <si>
    <t>41+357,65</t>
  </si>
  <si>
    <t>Položky jsou shodné i pro úpravu pláně v násypech.</t>
  </si>
  <si>
    <t>Výsev trávníku hydroosevem na ornici</t>
  </si>
  <si>
    <t>Rozprostření ornice, rovina, tl. 15-20 cm,do 500m2</t>
  </si>
  <si>
    <t>Položka se používá pro souvislé plochy do 500 m2.</t>
  </si>
  <si>
    <t>Hloubení pro podzemní stěny, ražení a hloubení důlní</t>
  </si>
  <si>
    <t>Poplatek za skládku horniny 1- 4</t>
  </si>
  <si>
    <t>Úprava podloží a základové spáry</t>
  </si>
  <si>
    <t>Montáž trativodů z flexibilních trubek, lože</t>
  </si>
  <si>
    <t>Položka obsahuje štěrkopískové lože a obsyp v průměrném celkovém množství do 0,15 m3/m a montáž flexibilních trubek. Položka je určena pro práce v otevřeném výkopu. Pro práce ve štole se k položce používá příplatek 212 75 - 2192.</t>
  </si>
  <si>
    <t>Výplň odvodňov. trativodů kam. hrubě drcen. 16 mm</t>
  </si>
  <si>
    <t>Podkladní vrstvy komunikací a zpevněných ploch</t>
  </si>
  <si>
    <t>Podklad ze štěrkodrti po zhutnění tloušťky 15 cm</t>
  </si>
  <si>
    <t>41   chodník</t>
  </si>
  <si>
    <t>Podklad ze štěrkodrti po zhutnění tloušťky 20 cm</t>
  </si>
  <si>
    <t>309   vozovka</t>
  </si>
  <si>
    <t>(129+1,5+1,5+7)*0,35    rozšíření podkladu</t>
  </si>
  <si>
    <t>Podklad z obal kam.ACP 16+,ACP 22+,nad 3 m,tl.7 cm</t>
  </si>
  <si>
    <t>700   Vyrovnávací vrstva</t>
  </si>
  <si>
    <t>Podklad z obal kam.ACP 16+,ACP 22+,nad 3 m,tl.8 cm</t>
  </si>
  <si>
    <t>309    vozovka</t>
  </si>
  <si>
    <t>56   zapravení stáv. vozovky</t>
  </si>
  <si>
    <t>Podklad z kameniva zpev.cementem KZC 2 tl.15 cm</t>
  </si>
  <si>
    <t>Kryty štěrkových a živičných pozemních komunikací a zpevněných ploch</t>
  </si>
  <si>
    <t>Postřik živičný spojovací z asfaltu 0,5-0,7 kg/m2</t>
  </si>
  <si>
    <t>957,65+957,65</t>
  </si>
  <si>
    <t>Beton asfaltový ACO 11+, ACO 16+, nad 3 m, tl.5 cm</t>
  </si>
  <si>
    <t>1020   vozovka</t>
  </si>
  <si>
    <t>12,65   zapravení stáv. vozovky</t>
  </si>
  <si>
    <t>Dlažby a předlažby pozemních komunikací a zpevněných ploch</t>
  </si>
  <si>
    <t>Kladení zámkové dlažby tl. 6 cm do drtě tl. 4 cm</t>
  </si>
  <si>
    <t>41   předláždění chodníků z dlažby 10/20cm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</si>
  <si>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1%.</t>
  </si>
  <si>
    <t>Dlažba betonová 20x10x6 cm přírodní</t>
  </si>
  <si>
    <t>41-6,1</t>
  </si>
  <si>
    <t>;ztratné 1%; 0,349</t>
  </si>
  <si>
    <t>Impregnace Protect System IN</t>
  </si>
  <si>
    <t>Dlažba betonová hmatová 20x10x6 cm červená</t>
  </si>
  <si>
    <t>6,1</t>
  </si>
  <si>
    <t>;ztratné 1%; 0,061</t>
  </si>
  <si>
    <t>Tato užitečná specializovaná dlažba s výrazně tvarovaným povrchem HOLLAND SLP je určena jako doplněk ke všem typům zpevněných ploch tam, kde je nutno vést nevidomé a slabozraké spoluobčany určitým směrem, nebo je upozornit na změnu směru, přechod pro chodce, zastávku MHD, na vchod do budovy apod. Speciálně upravený povrch dlažby s výstupky je jednoznačně a nezaměnitelně zjistitelný hmatově – holí - i nášlapem, proto může pomoci při budování vodících pruhů a signálních pásů v rámci běžného dláždění pro chodce.  dodáváno včetně půlek (případně krajovek) Impregnace Protect System IN</t>
  </si>
  <si>
    <t>Potrubí z trub kameninových</t>
  </si>
  <si>
    <t>Montáž trub kameninových, pryž. kroužek, DN 150</t>
  </si>
  <si>
    <t>2*7,6   přípojky UV</t>
  </si>
  <si>
    <t>2*1,6   přípojky DV</t>
  </si>
  <si>
    <t>Položka je určena pro montáž potrubí z trub kameninových těsněných pryžovým kroužkem v otevřeném výkopu ve sklonu do 20 %. V položce nejsou zakalkulovány náklady na dodání trub; tyto materiály se oceňují ve specifikaci. Ztratné se doporučuje ve výši 1,5 %.</t>
  </si>
  <si>
    <t>Trouba kameninová hrdlová DN 150, l=1,00 m</t>
  </si>
  <si>
    <t>18,4</t>
  </si>
  <si>
    <t>;ztratné 1,5%; 0,276</t>
  </si>
  <si>
    <t>otevřený výkop  FN 34 kN/m  v hrdle je vlepen těsnicí kroužek - materiál SBR kaučuk EPDM  trouba oboustranně glazována</t>
  </si>
  <si>
    <t>Koleno hrdlové 30° kamenina DN 150</t>
  </si>
  <si>
    <t>4*2</t>
  </si>
  <si>
    <t>;ztratné 1,5%; 0,12</t>
  </si>
  <si>
    <t>Ostatní konstrukce a práce na trubním vedení</t>
  </si>
  <si>
    <t>Zřízení vpusti uliční z dílců typ UVB - 50</t>
  </si>
  <si>
    <t>včetně dodávky dílců pro uliční vpusti TBV</t>
  </si>
  <si>
    <t>Položka je určena pro zřízení vpusti kanalizační uliční z betonových dílců. V položce jsou započteny i náklady na zřízení lože ze štěrkopísku. V položce jsou započteny i náklady na dodání betonových dílců a kameninových oblouků. V položce nejsou započteny náklady na dodání: a) litinové mříže; osazení mříží se oceňuje cenami souboru 89920 Osazení mříží litinových části A 01 tohoto sborníku; dodání mříží se oceňuje ve specifikaci, ztratné se nestanoví b) podkladního prstence; podkladní prstence se oceňují položkami souboru 45238 Podkladní a vyrovnávací konstrukce části A 01 tohoto sborníku.</t>
  </si>
  <si>
    <t>Osazení mříží litinových s rámem do 50 kg</t>
  </si>
  <si>
    <t>včetně dodání mříže lehké s rámem 300 x 300</t>
  </si>
  <si>
    <t>Položka je určena pro osazení mříží litinových včetně rámů a košů na bahno. V položkách jsou zakalkulovány náklady na dodání mříže lehké s rámem 300x300. V položce jsou zakalkulovány i náklady na cementovou maltu.</t>
  </si>
  <si>
    <t>Osazení mříží plastových s litinovým rámem do 100 kg</t>
  </si>
  <si>
    <t>Položka je určena pro osazení mříží litinových včetně rámů a košů na bahno. V položkách nejsou zakalkulovány náklady na dodání mříží, rámů a košů na bahno; Tyto náklady se oceňují ve specifikaci. Ztratné se nestanoví. V položce jsou zakalkulovány i náklady na cementovou maltu.</t>
  </si>
  <si>
    <t>Plastová mříž M 500 D s rámem</t>
  </si>
  <si>
    <t>Obetonování potrubí nebo zdiva stok betonem C12/15</t>
  </si>
  <si>
    <t>1,2*0,3*18,4</t>
  </si>
  <si>
    <t>Položka je určena pro obetonování potrubí v otevřeném výkopu, pro práce ve štole se k položce používá příplatek 89962-3192. Obetonování zdiva stok ve štole se oceňuje položkami 35931 Výplň za rubem cihelného zdiva stok části A 03 tohoto sborníku.</t>
  </si>
  <si>
    <t>Výšková úprava do 20 cm, zvýšení krytu šoupěte</t>
  </si>
  <si>
    <t>Výšková úprava do 20 cm, snížení krytu šoupěte</t>
  </si>
  <si>
    <t>Výšková úprava vstupu do 20 cm, zvýšení poklopu</t>
  </si>
  <si>
    <t>Hodinové zúčtovací sazby (HZS)</t>
  </si>
  <si>
    <t>Zálivka jednosložkovým asfaltem s polymer. modifikátory</t>
  </si>
  <si>
    <t xml:space="preserve">   napojení nového a stáv. krytu</t>
  </si>
  <si>
    <t>Doplňující konstrukce a práce na pozemních komunikacích a zpevněných plochách</t>
  </si>
  <si>
    <t>Osazení stojat. obrub.bet. s opěrou,lože z C 12/15</t>
  </si>
  <si>
    <t>272   silniční</t>
  </si>
  <si>
    <t>43   chodníkové</t>
  </si>
  <si>
    <t>Osazení betonového silničního nebo chodníkového obrubníku.</t>
  </si>
  <si>
    <t>Obrubník parkový betonový 80x250x1000 mm</t>
  </si>
  <si>
    <t>;ztratné 1%; 0,43</t>
  </si>
  <si>
    <t>povrch základní</t>
  </si>
  <si>
    <t>Obrubník silniční betonový 150x250x1000 mm</t>
  </si>
  <si>
    <t>272</t>
  </si>
  <si>
    <t>;ztratné 1%; 2,72</t>
  </si>
  <si>
    <t>Lože pod obrubníky nebo obruby dlažeb z C 12/15</t>
  </si>
  <si>
    <t>272*0,35</t>
  </si>
  <si>
    <t>Řezání stávajícího živičného krytu tl. 10 - 15 cm</t>
  </si>
  <si>
    <t>V položce jsou zakalkulovány i náklady na spotřebu vody.</t>
  </si>
  <si>
    <t>Osaz.sloupku dopr.značky vč. bet.základu+Al patka</t>
  </si>
  <si>
    <t>V položce započteno: výkop jamky s odhozem výkopku na vzdálenost do 3 m, osazení sloupku do monolitického betonového základu, osazení a montáž kotevní hliníkové patky, dodávka a osazení víčka ke sloupku.</t>
  </si>
  <si>
    <t>Osazení svislé dopr.značky na sloupek nebo konzolu</t>
  </si>
  <si>
    <t>Včetně dodávky upevňovadel.</t>
  </si>
  <si>
    <t>Značka dopr inf IP 11-13 500/700 fól1, EG7letá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</si>
  <si>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IP - Informativní dopravní značka provozní  štít z pozinkovaného plechu s dvojitým ohybem okraje po celém obvodu značky retroreflexní fólie  I. třídy 3M EG nebo podobná, záruka 7 let</t>
  </si>
  <si>
    <t>Značka dopr dodat E1,2a,b 500/500 fól 1, EG 7letá</t>
  </si>
  <si>
    <t>Typy a provedení dopravního značení jsou v souladu s příslušným zákonem a vyhláškou č. 30/2001 Sb. a jsou schváleny Ministerstvem dopravy a spojů k používání na pozemních komunikacích.  E - Dopravní značka - dodatková tabulka EG - Enginner Grade - reflexní fólie tř. 1  štít z pozinkovaného plechu s dvojitým ohybem okraje po celém obvodu značky retroreflexní fólie  I. třídy 3M EG nebo podobná, záruka 7 let</t>
  </si>
  <si>
    <t>Vodorovné značení dělících čar 12 cm střík.barvou</t>
  </si>
  <si>
    <t>2*20+1*25   značení parkovišť</t>
  </si>
  <si>
    <t>Vodorovné značení střík.barvou stopčar,zeber atd.</t>
  </si>
  <si>
    <t>1   symbol O1</t>
  </si>
  <si>
    <t xml:space="preserve"> vodních staveb</t>
  </si>
  <si>
    <t>Bourání dešťové vpusti vč, mříže</t>
  </si>
  <si>
    <t>Přesuny sutí</t>
  </si>
  <si>
    <t>Vodorovná doprava suti po suchu do 1 km</t>
  </si>
  <si>
    <t>135*0,22   živice</t>
  </si>
  <si>
    <t>54,1*0,22+41*0,33+50*0,66   kamenivo drcené</t>
  </si>
  <si>
    <t>715*0,11   frézování</t>
  </si>
  <si>
    <t>Příplatek za dopravu suti po suchu za další 1 km</t>
  </si>
  <si>
    <t>192,082*9</t>
  </si>
  <si>
    <t>Vodorovná doprava vybour. hmot po suchu do 5 km</t>
  </si>
  <si>
    <t>145*0,145   obrubníky</t>
  </si>
  <si>
    <t>Příplatek k dopravě vybour.hmot za dalších 5 km</t>
  </si>
  <si>
    <t>Poplatek za skládku stavební suti</t>
  </si>
  <si>
    <t>58,432+21,025</t>
  </si>
  <si>
    <t>Poplatek za skládku suti - obalované kam. - asfalt</t>
  </si>
  <si>
    <t>29,7+103,95</t>
  </si>
  <si>
    <t>Položka je určena pro suť o velikosti kusu do 30x30 cm (technologický materiál určený k recyklaci). .</t>
  </si>
  <si>
    <t>Přesun hmot, pozemní komunikace, kryt živičný</t>
  </si>
  <si>
    <t>Ostatní materiál</t>
  </si>
  <si>
    <t>Vpust uliční betonová TBV-Q 390/60 60x390x235/85</t>
  </si>
  <si>
    <t xml:space="preserve">   dvorní vpust</t>
  </si>
  <si>
    <t>Odbočka 45° kamenina hrdlová 150/100 FN 34/34</t>
  </si>
  <si>
    <t xml:space="preserve">   přípojka UV - drenáž</t>
  </si>
  <si>
    <t>KeraBase odbočky 45° pro normální zatížení.  Specif. 45° Profil DN 150/100 Délka 40 cm Třída pevnosti -  Mezní únosnost FN 34/34 kN/m Hmotnost 16 kg/ks Hrdlo LL</t>
  </si>
  <si>
    <t>Doba výstavby:</t>
  </si>
  <si>
    <t>Začátek výstavby:</t>
  </si>
  <si>
    <t>Konec výstavby:</t>
  </si>
  <si>
    <t>Zpracováno dne:</t>
  </si>
  <si>
    <t> </t>
  </si>
  <si>
    <t>04.04.2018</t>
  </si>
  <si>
    <t>M.j.</t>
  </si>
  <si>
    <t>m2</t>
  </si>
  <si>
    <t>m</t>
  </si>
  <si>
    <t>m3</t>
  </si>
  <si>
    <t>kus</t>
  </si>
  <si>
    <t>t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</si>
  <si>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</si>
  <si>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</si>
  <si>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</si>
  <si>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</si>
  <si>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</si>
  <si>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</si>
  <si>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</si>
  <si>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Město Šlapanice</t>
  </si>
  <si>
    <t>Matula, projekční kancelář, Šumavská 15, Brno, 602</t>
  </si>
  <si>
    <t>Ing. Krejčíková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</si>
  <si>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</si>
  <si>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</si>
  <si>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</si>
  <si>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</si>
  <si>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</si>
  <si>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</si>
  <si>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</si>
  <si>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2017</t>
  </si>
  <si>
    <t>RTS II / 2018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</si>
  <si>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</si>
  <si>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</si>
  <si>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</si>
  <si>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</si>
  <si>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</si>
  <si>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</si>
  <si>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</si>
  <si>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</si>
  <si>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</si>
  <si>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</si>
  <si>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</si>
  <si>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</si>
  <si>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</si>
  <si>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</si>
  <si>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15_</t>
  </si>
  <si>
    <t>16_</t>
  </si>
  <si>
    <t>17_</t>
  </si>
  <si>
    <t>18_</t>
  </si>
  <si>
    <t>19_</t>
  </si>
  <si>
    <t>21_</t>
  </si>
  <si>
    <t>56_</t>
  </si>
  <si>
    <t>57_</t>
  </si>
  <si>
    <t>59_</t>
  </si>
  <si>
    <t>83_</t>
  </si>
  <si>
    <t>89_</t>
  </si>
  <si>
    <t>90_</t>
  </si>
  <si>
    <t>91_</t>
  </si>
  <si>
    <t>960_</t>
  </si>
  <si>
    <t>S_</t>
  </si>
  <si>
    <t>Z99999_</t>
  </si>
  <si>
    <t>1_</t>
  </si>
  <si>
    <t>2_</t>
  </si>
  <si>
    <t>5_</t>
  </si>
  <si>
    <t>8_</t>
  </si>
  <si>
    <t>9_</t>
  </si>
  <si>
    <t>Z_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</si>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</sst>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3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center" vertical="center"/>
      <protection/>
    </xf>
    <xf numFmtId="49" fontId="13" fillId="3" borderId="34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3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3" borderId="33" xfId="0" applyNumberFormat="1" applyFont="1" applyFill="1" applyBorder="1" applyAlignment="1" applyProtection="1">
      <alignment horizontal="left" vertical="center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4" fontId="15" fillId="0" borderId="34" xfId="0" applyNumberFormat="1" applyFont="1" applyFill="1" applyBorder="1" applyAlignment="1" applyProtection="1">
      <alignment horizontal="right" vertical="center"/>
      <protection/>
    </xf>
    <xf numFmtId="49" fontId="15" fillId="0" borderId="34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" borderId="4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18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47.57421875" customWidth="1"/>
    <col min="6" max="6" width="4.28125" customWidth="1"/>
    <col min="7" max="7" width="12.8515625" customWidth="1"/>
    <col min="8" max="8" width="12.00390625" customWidth="1"/>
    <col min="9" max="11" width="14.28125" customWidth="1"/>
    <col min="12" max="12" width="11.7109375" customWidth="1"/>
    <col min="25" max="62" width="12.140625" hidden="1" customWidth="1"/>
  </cols>
  <sheetData>
    <row r="1" spans="1:12" ht="72.75" customHeight="1">
      <c r="A1" s="13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75">
      <c r="A2" s="3" t="s">
        <v>1</v>
      </c>
      <c r="B2" s="18"/>
      <c r="C2" s="27" t="s">
        <v>166</v>
      </c>
      <c r="D2" s="36" t="s">
        <v>364</v>
      </c>
      <c r="E2" s="18"/>
      <c r="F2" s="36" t="s">
        <v>6</v>
      </c>
      <c r="G2" s="18"/>
      <c r="H2" s="54" t="s">
        <v>377</v>
      </c>
      <c r="I2" s="54" t="s">
        <v>383</v>
      </c>
      <c r="J2" s="18"/>
      <c r="K2" s="18"/>
      <c r="L2" s="65"/>
      <c r="M2" s="74"/>
    </row>
    <row r="3" spans="1:13" ht="12.75">
      <c r="A3" s="4"/>
      <c r="B3" s="19"/>
      <c r="C3" s="28"/>
      <c r="D3" s="19"/>
      <c r="E3" s="19"/>
      <c r="F3" s="19"/>
      <c r="G3" s="19"/>
      <c r="H3" s="19"/>
      <c r="I3" s="19"/>
      <c r="J3" s="19"/>
      <c r="K3" s="19"/>
      <c r="L3" s="66"/>
      <c r="M3" s="74"/>
    </row>
    <row r="4" spans="1:13" ht="12.75">
      <c r="A4" s="5" t="s">
        <v>2</v>
      </c>
      <c r="B4" s="19"/>
      <c r="C4" s="16" t="s">
        <v>167</v>
      </c>
      <c r="D4" s="37" t="s">
        <v>365</v>
      </c>
      <c r="E4" s="19"/>
      <c r="F4" s="37" t="s">
        <v>368</v>
      </c>
      <c r="G4" s="19"/>
      <c r="H4" s="16" t="s">
        <v>378</v>
      </c>
      <c r="I4" s="16" t="s">
        <v>384</v>
      </c>
      <c r="J4" s="19"/>
      <c r="K4" s="19"/>
      <c r="L4" s="66"/>
      <c r="M4" s="74"/>
    </row>
    <row r="5" spans="1:13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66"/>
      <c r="M5" s="74"/>
    </row>
    <row r="6" spans="1:13" ht="12.75">
      <c r="A6" s="5" t="s">
        <v>3</v>
      </c>
      <c r="B6" s="19"/>
      <c r="C6" s="16" t="s">
        <v>168</v>
      </c>
      <c r="D6" s="37" t="s">
        <v>366</v>
      </c>
      <c r="E6" s="19"/>
      <c r="F6" s="37" t="s">
        <v>368</v>
      </c>
      <c r="G6" s="19"/>
      <c r="H6" s="16" t="s">
        <v>379</v>
      </c>
      <c r="I6" s="29">
        <v>0</v>
      </c>
      <c r="J6" s="19"/>
      <c r="K6" s="19"/>
      <c r="L6" s="66"/>
      <c r="M6" s="74"/>
    </row>
    <row r="7" spans="1:13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66"/>
      <c r="M7" s="74"/>
    </row>
    <row r="8" spans="1:13" ht="12.75">
      <c r="A8" s="5" t="s">
        <v>4</v>
      </c>
      <c r="B8" s="19"/>
      <c r="C8" s="29">
        <v>0</v>
      </c>
      <c r="D8" s="37" t="s">
        <v>367</v>
      </c>
      <c r="E8" s="19"/>
      <c r="F8" s="37" t="s">
        <v>369</v>
      </c>
      <c r="G8" s="19"/>
      <c r="H8" s="16" t="s">
        <v>380</v>
      </c>
      <c r="I8" s="16" t="s">
        <v>385</v>
      </c>
      <c r="J8" s="19"/>
      <c r="K8" s="19"/>
      <c r="L8" s="66"/>
      <c r="M8" s="74"/>
    </row>
    <row r="9" spans="1:13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67"/>
      <c r="M9" s="74"/>
    </row>
    <row r="10" spans="1:13" ht="12.75">
      <c r="A10" s="7" t="s">
        <v>5</v>
      </c>
      <c r="B10" s="21" t="s">
        <v>83</v>
      </c>
      <c r="C10" s="30" t="s">
        <v>169</v>
      </c>
      <c r="D10" s="38"/>
      <c r="E10" s="48"/>
      <c r="F10" s="21" t="s">
        <v>370</v>
      </c>
      <c r="G10" s="50" t="s">
        <v>376</v>
      </c>
      <c r="H10" s="55" t="s">
        <v>381</v>
      </c>
      <c r="I10" s="57" t="s">
        <v>386</v>
      </c>
      <c r="J10" s="60"/>
      <c r="K10" s="63"/>
      <c r="L10" s="68" t="s">
        <v>391</v>
      </c>
      <c r="M10" s="75"/>
    </row>
    <row r="11" spans="1:62" ht="12.75">
      <c r="A11" s="8" t="s">
        <v>6</v>
      </c>
      <c r="B11" s="22" t="s">
        <v>6</v>
      </c>
      <c r="C11" s="31" t="s">
        <v>170</v>
      </c>
      <c r="D11" s="39"/>
      <c r="E11" s="49"/>
      <c r="F11" s="22" t="s">
        <v>6</v>
      </c>
      <c r="G11" s="22" t="s">
        <v>6</v>
      </c>
      <c r="H11" s="56" t="s">
        <v>382</v>
      </c>
      <c r="I11" s="58" t="s">
        <v>387</v>
      </c>
      <c r="J11" s="61" t="s">
        <v>389</v>
      </c>
      <c r="K11" s="64" t="s">
        <v>390</v>
      </c>
      <c r="L11" s="69" t="s">
        <v>392</v>
      </c>
      <c r="M11" s="75"/>
      <c r="Z11" s="72" t="s">
        <v>396</v>
      </c>
      <c r="AA11" s="72" t="s">
        <v>397</v>
      </c>
      <c r="AB11" s="72" t="s">
        <v>398</v>
      </c>
      <c r="AC11" s="72" t="s">
        <v>399</v>
      </c>
      <c r="AD11" s="72" t="s">
        <v>400</v>
      </c>
      <c r="AE11" s="72" t="s">
        <v>401</v>
      </c>
      <c r="AF11" s="72" t="s">
        <v>402</v>
      </c>
      <c r="AG11" s="72" t="s">
        <v>403</v>
      </c>
      <c r="AH11" s="72" t="s">
        <v>404</v>
      </c>
      <c r="BH11" s="72" t="s">
        <v>432</v>
      </c>
      <c r="BI11" s="72" t="s">
        <v>433</v>
      </c>
      <c r="BJ11" s="72" t="s">
        <v>434</v>
      </c>
    </row>
    <row r="12" spans="1:47" ht="12.75">
      <c r="A12" s="9"/>
      <c r="B12" s="23" t="s">
        <v>17</v>
      </c>
      <c r="C12" s="23" t="s">
        <v>171</v>
      </c>
      <c r="D12" s="40"/>
      <c r="E12" s="40"/>
      <c r="F12" s="9" t="s">
        <v>6</v>
      </c>
      <c r="G12" s="9" t="s">
        <v>6</v>
      </c>
      <c r="H12" s="9" t="s">
        <v>6</v>
      </c>
      <c r="I12" s="78">
        <f>SUM(I13:I28)</f>
        <v>0</v>
      </c>
      <c r="J12" s="78">
        <f>SUM(J13:J28)</f>
        <v>0</v>
      </c>
      <c r="K12" s="78">
        <f>SUM(K13:K28)</f>
        <v>0</v>
      </c>
      <c r="L12" s="70"/>
      <c r="AI12" s="72"/>
      <c r="AS12" s="79">
        <f>SUM(AJ13:AJ28)</f>
        <v>0</v>
      </c>
      <c r="AT12" s="79">
        <f>SUM(AK13:AK28)</f>
        <v>0</v>
      </c>
      <c r="AU12" s="79">
        <f>SUM(AL13:AL28)</f>
        <v>0</v>
      </c>
    </row>
    <row r="13" spans="1:62" ht="12.75">
      <c r="A13" s="10" t="s">
        <v>7</v>
      </c>
      <c r="B13" s="10" t="s">
        <v>84</v>
      </c>
      <c r="C13" s="10" t="s">
        <v>172</v>
      </c>
      <c r="D13" s="41"/>
      <c r="E13" s="41"/>
      <c r="F13" s="10" t="s">
        <v>371</v>
      </c>
      <c r="G13" s="51">
        <v>41</v>
      </c>
      <c r="H13" s="51">
        <v>0</v>
      </c>
      <c r="I13" s="51">
        <f>G13*AO13</f>
        <v>0</v>
      </c>
      <c r="J13" s="51">
        <f>G13*AP13</f>
        <v>0</v>
      </c>
      <c r="K13" s="51">
        <f>G13*H13</f>
        <v>0</v>
      </c>
      <c r="L13" s="71" t="s">
        <v>393</v>
      </c>
      <c r="Z13" s="76">
        <f>IF(AQ13="5",BJ13,0)</f>
        <v>0</v>
      </c>
      <c r="AB13" s="76">
        <f>IF(AQ13="1",BH13,0)</f>
        <v>0</v>
      </c>
      <c r="AC13" s="76">
        <f>IF(AQ13="1",BI13,0)</f>
        <v>0</v>
      </c>
      <c r="AD13" s="76">
        <f>IF(AQ13="7",BH13,0)</f>
        <v>0</v>
      </c>
      <c r="AE13" s="76">
        <f>IF(AQ13="7",BI13,0)</f>
        <v>0</v>
      </c>
      <c r="AF13" s="76">
        <f>IF(AQ13="2",BH13,0)</f>
        <v>0</v>
      </c>
      <c r="AG13" s="76">
        <f>IF(AQ13="2",BI13,0)</f>
        <v>0</v>
      </c>
      <c r="AH13" s="76">
        <f>IF(AQ13="0",BJ13,0)</f>
        <v>0</v>
      </c>
      <c r="AI13" s="72"/>
      <c r="AJ13" s="51">
        <f>IF(AN13=0,K13,0)</f>
        <v>0</v>
      </c>
      <c r="AK13" s="51">
        <f>IF(AN13=15,K13,0)</f>
        <v>0</v>
      </c>
      <c r="AL13" s="51">
        <f>IF(AN13=21,K13,0)</f>
        <v>0</v>
      </c>
      <c r="AN13" s="76">
        <v>21</v>
      </c>
      <c r="AO13" s="76">
        <f>H13*0</f>
        <v>0</v>
      </c>
      <c r="AP13" s="76">
        <f>H13*(1-0)</f>
        <v>0</v>
      </c>
      <c r="AQ13" s="71" t="s">
        <v>7</v>
      </c>
      <c r="AV13" s="76">
        <f>AW13+AX13</f>
        <v>0</v>
      </c>
      <c r="AW13" s="76">
        <f>G13*AO13</f>
        <v>0</v>
      </c>
      <c r="AX13" s="76">
        <f>G13*AP13</f>
        <v>0</v>
      </c>
      <c r="AY13" s="77" t="s">
        <v>406</v>
      </c>
      <c r="AZ13" s="77" t="s">
        <v>425</v>
      </c>
      <c r="BA13" s="72" t="s">
        <v>431</v>
      </c>
      <c r="BC13" s="76">
        <f>AW13+AX13</f>
        <v>0</v>
      </c>
      <c r="BD13" s="76">
        <f>H13/(100-BE13)*100</f>
        <v>0</v>
      </c>
      <c r="BE13" s="76">
        <v>0</v>
      </c>
      <c r="BF13" s="76">
        <f>13</f>
        <v>13</v>
      </c>
      <c r="BH13" s="51">
        <f>G13*AO13</f>
        <v>0</v>
      </c>
      <c r="BI13" s="51">
        <f>G13*AP13</f>
        <v>0</v>
      </c>
      <c r="BJ13" s="51">
        <f>G13*H13</f>
        <v>0</v>
      </c>
    </row>
    <row r="14" spans="3:7" ht="12.75">
      <c r="C14" s="32" t="s">
        <v>173</v>
      </c>
      <c r="D14" s="42"/>
      <c r="E14" s="42"/>
      <c r="G14" s="52">
        <v>41</v>
      </c>
    </row>
    <row r="15" spans="2:12" ht="25.5" customHeight="1">
      <c r="B15" s="24" t="s">
        <v>85</v>
      </c>
      <c r="C15" s="33" t="s">
        <v>174</v>
      </c>
      <c r="D15" s="43"/>
      <c r="E15" s="43"/>
      <c r="F15" s="43"/>
      <c r="G15" s="43"/>
      <c r="H15" s="43"/>
      <c r="I15" s="43"/>
      <c r="J15" s="43"/>
      <c r="K15" s="43"/>
      <c r="L15" s="43"/>
    </row>
    <row r="16" spans="1:62" ht="12.75">
      <c r="A16" s="10" t="s">
        <v>8</v>
      </c>
      <c r="B16" s="10" t="s">
        <v>86</v>
      </c>
      <c r="C16" s="10" t="s">
        <v>175</v>
      </c>
      <c r="D16" s="41"/>
      <c r="E16" s="41"/>
      <c r="F16" s="10" t="s">
        <v>371</v>
      </c>
      <c r="G16" s="51">
        <v>54.1</v>
      </c>
      <c r="H16" s="51">
        <v>0</v>
      </c>
      <c r="I16" s="51">
        <f>G16*AO16</f>
        <v>0</v>
      </c>
      <c r="J16" s="51">
        <f>G16*AP16</f>
        <v>0</v>
      </c>
      <c r="K16" s="51">
        <f>G16*H16</f>
        <v>0</v>
      </c>
      <c r="L16" s="71" t="s">
        <v>393</v>
      </c>
      <c r="Z16" s="76">
        <f>IF(AQ16="5",BJ16,0)</f>
        <v>0</v>
      </c>
      <c r="AB16" s="76">
        <f>IF(AQ16="1",BH16,0)</f>
        <v>0</v>
      </c>
      <c r="AC16" s="76">
        <f>IF(AQ16="1",BI16,0)</f>
        <v>0</v>
      </c>
      <c r="AD16" s="76">
        <f>IF(AQ16="7",BH16,0)</f>
        <v>0</v>
      </c>
      <c r="AE16" s="76">
        <f>IF(AQ16="7",BI16,0)</f>
        <v>0</v>
      </c>
      <c r="AF16" s="76">
        <f>IF(AQ16="2",BH16,0)</f>
        <v>0</v>
      </c>
      <c r="AG16" s="76">
        <f>IF(AQ16="2",BI16,0)</f>
        <v>0</v>
      </c>
      <c r="AH16" s="76">
        <f>IF(AQ16="0",BJ16,0)</f>
        <v>0</v>
      </c>
      <c r="AI16" s="72"/>
      <c r="AJ16" s="51">
        <f>IF(AN16=0,K16,0)</f>
        <v>0</v>
      </c>
      <c r="AK16" s="51">
        <f>IF(AN16=15,K16,0)</f>
        <v>0</v>
      </c>
      <c r="AL16" s="51">
        <f>IF(AN16=21,K16,0)</f>
        <v>0</v>
      </c>
      <c r="AN16" s="76">
        <v>21</v>
      </c>
      <c r="AO16" s="76">
        <f>H16*0</f>
        <v>0</v>
      </c>
      <c r="AP16" s="76">
        <f>H16*(1-0)</f>
        <v>0</v>
      </c>
      <c r="AQ16" s="71" t="s">
        <v>7</v>
      </c>
      <c r="AV16" s="76">
        <f>AW16+AX16</f>
        <v>0</v>
      </c>
      <c r="AW16" s="76">
        <f>G16*AO16</f>
        <v>0</v>
      </c>
      <c r="AX16" s="76">
        <f>G16*AP16</f>
        <v>0</v>
      </c>
      <c r="AY16" s="77" t="s">
        <v>406</v>
      </c>
      <c r="AZ16" s="77" t="s">
        <v>425</v>
      </c>
      <c r="BA16" s="72" t="s">
        <v>431</v>
      </c>
      <c r="BC16" s="76">
        <f>AW16+AX16</f>
        <v>0</v>
      </c>
      <c r="BD16" s="76">
        <f>H16/(100-BE16)*100</f>
        <v>0</v>
      </c>
      <c r="BE16" s="76">
        <v>0</v>
      </c>
      <c r="BF16" s="76">
        <f>16</f>
        <v>16</v>
      </c>
      <c r="BH16" s="51">
        <f>G16*AO16</f>
        <v>0</v>
      </c>
      <c r="BI16" s="51">
        <f>G16*AP16</f>
        <v>0</v>
      </c>
      <c r="BJ16" s="51">
        <f>G16*H16</f>
        <v>0</v>
      </c>
    </row>
    <row r="17" spans="3:7" ht="12.75">
      <c r="C17" s="32" t="s">
        <v>176</v>
      </c>
      <c r="D17" s="42"/>
      <c r="E17" s="42"/>
      <c r="G17" s="52">
        <v>54.1</v>
      </c>
    </row>
    <row r="18" spans="2:12" ht="25.5" customHeight="1">
      <c r="B18" s="24" t="s">
        <v>85</v>
      </c>
      <c r="C18" s="33" t="s">
        <v>177</v>
      </c>
      <c r="D18" s="43"/>
      <c r="E18" s="43"/>
      <c r="F18" s="43"/>
      <c r="G18" s="43"/>
      <c r="H18" s="43"/>
      <c r="I18" s="43"/>
      <c r="J18" s="43"/>
      <c r="K18" s="43"/>
      <c r="L18" s="43"/>
    </row>
    <row r="19" spans="1:62" ht="12.75">
      <c r="A19" s="10" t="s">
        <v>9</v>
      </c>
      <c r="B19" s="10" t="s">
        <v>87</v>
      </c>
      <c r="C19" s="10" t="s">
        <v>178</v>
      </c>
      <c r="D19" s="41"/>
      <c r="E19" s="41"/>
      <c r="F19" s="10" t="s">
        <v>371</v>
      </c>
      <c r="G19" s="51">
        <v>41</v>
      </c>
      <c r="H19" s="51">
        <v>0</v>
      </c>
      <c r="I19" s="51">
        <f>G19*AO19</f>
        <v>0</v>
      </c>
      <c r="J19" s="51">
        <f>G19*AP19</f>
        <v>0</v>
      </c>
      <c r="K19" s="51">
        <f>G19*H19</f>
        <v>0</v>
      </c>
      <c r="L19" s="71" t="s">
        <v>393</v>
      </c>
      <c r="Z19" s="76">
        <f>IF(AQ19="5",BJ19,0)</f>
        <v>0</v>
      </c>
      <c r="AB19" s="76">
        <f>IF(AQ19="1",BH19,0)</f>
        <v>0</v>
      </c>
      <c r="AC19" s="76">
        <f>IF(AQ19="1",BI19,0)</f>
        <v>0</v>
      </c>
      <c r="AD19" s="76">
        <f>IF(AQ19="7",BH19,0)</f>
        <v>0</v>
      </c>
      <c r="AE19" s="76">
        <f>IF(AQ19="7",BI19,0)</f>
        <v>0</v>
      </c>
      <c r="AF19" s="76">
        <f>IF(AQ19="2",BH19,0)</f>
        <v>0</v>
      </c>
      <c r="AG19" s="76">
        <f>IF(AQ19="2",BI19,0)</f>
        <v>0</v>
      </c>
      <c r="AH19" s="76">
        <f>IF(AQ19="0",BJ19,0)</f>
        <v>0</v>
      </c>
      <c r="AI19" s="72"/>
      <c r="AJ19" s="51">
        <f>IF(AN19=0,K19,0)</f>
        <v>0</v>
      </c>
      <c r="AK19" s="51">
        <f>IF(AN19=15,K19,0)</f>
        <v>0</v>
      </c>
      <c r="AL19" s="51">
        <f>IF(AN19=21,K19,0)</f>
        <v>0</v>
      </c>
      <c r="AN19" s="76">
        <v>21</v>
      </c>
      <c r="AO19" s="76">
        <f>H19*0</f>
        <v>0</v>
      </c>
      <c r="AP19" s="76">
        <f>H19*(1-0)</f>
        <v>0</v>
      </c>
      <c r="AQ19" s="71" t="s">
        <v>7</v>
      </c>
      <c r="AV19" s="76">
        <f>AW19+AX19</f>
        <v>0</v>
      </c>
      <c r="AW19" s="76">
        <f>G19*AO19</f>
        <v>0</v>
      </c>
      <c r="AX19" s="76">
        <f>G19*AP19</f>
        <v>0</v>
      </c>
      <c r="AY19" s="77" t="s">
        <v>406</v>
      </c>
      <c r="AZ19" s="77" t="s">
        <v>425</v>
      </c>
      <c r="BA19" s="72" t="s">
        <v>431</v>
      </c>
      <c r="BC19" s="76">
        <f>AW19+AX19</f>
        <v>0</v>
      </c>
      <c r="BD19" s="76">
        <f>H19/(100-BE19)*100</f>
        <v>0</v>
      </c>
      <c r="BE19" s="76">
        <v>0</v>
      </c>
      <c r="BF19" s="76">
        <f>19</f>
        <v>19</v>
      </c>
      <c r="BH19" s="51">
        <f>G19*AO19</f>
        <v>0</v>
      </c>
      <c r="BI19" s="51">
        <f>G19*AP19</f>
        <v>0</v>
      </c>
      <c r="BJ19" s="51">
        <f>G19*H19</f>
        <v>0</v>
      </c>
    </row>
    <row r="20" spans="3:7" ht="12.75">
      <c r="C20" s="32" t="s">
        <v>179</v>
      </c>
      <c r="D20" s="42"/>
      <c r="E20" s="42"/>
      <c r="G20" s="52">
        <v>41</v>
      </c>
    </row>
    <row r="21" spans="2:12" ht="25.5" customHeight="1">
      <c r="B21" s="24" t="s">
        <v>85</v>
      </c>
      <c r="C21" s="33" t="s">
        <v>177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62" ht="12.75">
      <c r="A22" s="10" t="s">
        <v>10</v>
      </c>
      <c r="B22" s="10" t="s">
        <v>88</v>
      </c>
      <c r="C22" s="10" t="s">
        <v>180</v>
      </c>
      <c r="D22" s="41"/>
      <c r="E22" s="41"/>
      <c r="F22" s="10" t="s">
        <v>371</v>
      </c>
      <c r="G22" s="51">
        <v>50</v>
      </c>
      <c r="H22" s="51">
        <v>0</v>
      </c>
      <c r="I22" s="51">
        <f>G22*AO22</f>
        <v>0</v>
      </c>
      <c r="J22" s="51">
        <f>G22*AP22</f>
        <v>0</v>
      </c>
      <c r="K22" s="51">
        <f>G22*H22</f>
        <v>0</v>
      </c>
      <c r="L22" s="71" t="s">
        <v>393</v>
      </c>
      <c r="Z22" s="76">
        <f>IF(AQ22="5",BJ22,0)</f>
        <v>0</v>
      </c>
      <c r="AB22" s="76">
        <f>IF(AQ22="1",BH22,0)</f>
        <v>0</v>
      </c>
      <c r="AC22" s="76">
        <f>IF(AQ22="1",BI22,0)</f>
        <v>0</v>
      </c>
      <c r="AD22" s="76">
        <f>IF(AQ22="7",BH22,0)</f>
        <v>0</v>
      </c>
      <c r="AE22" s="76">
        <f>IF(AQ22="7",BI22,0)</f>
        <v>0</v>
      </c>
      <c r="AF22" s="76">
        <f>IF(AQ22="2",BH22,0)</f>
        <v>0</v>
      </c>
      <c r="AG22" s="76">
        <f>IF(AQ22="2",BI22,0)</f>
        <v>0</v>
      </c>
      <c r="AH22" s="76">
        <f>IF(AQ22="0",BJ22,0)</f>
        <v>0</v>
      </c>
      <c r="AI22" s="72"/>
      <c r="AJ22" s="51">
        <f>IF(AN22=0,K22,0)</f>
        <v>0</v>
      </c>
      <c r="AK22" s="51">
        <f>IF(AN22=15,K22,0)</f>
        <v>0</v>
      </c>
      <c r="AL22" s="51">
        <f>IF(AN22=21,K22,0)</f>
        <v>0</v>
      </c>
      <c r="AN22" s="76">
        <v>21</v>
      </c>
      <c r="AO22" s="76">
        <f>H22*0</f>
        <v>0</v>
      </c>
      <c r="AP22" s="76">
        <f>H22*(1-0)</f>
        <v>0</v>
      </c>
      <c r="AQ22" s="71" t="s">
        <v>7</v>
      </c>
      <c r="AV22" s="76">
        <f>AW22+AX22</f>
        <v>0</v>
      </c>
      <c r="AW22" s="76">
        <f>G22*AO22</f>
        <v>0</v>
      </c>
      <c r="AX22" s="76">
        <f>G22*AP22</f>
        <v>0</v>
      </c>
      <c r="AY22" s="77" t="s">
        <v>406</v>
      </c>
      <c r="AZ22" s="77" t="s">
        <v>425</v>
      </c>
      <c r="BA22" s="72" t="s">
        <v>431</v>
      </c>
      <c r="BC22" s="76">
        <f>AW22+AX22</f>
        <v>0</v>
      </c>
      <c r="BD22" s="76">
        <f>H22/(100-BE22)*100</f>
        <v>0</v>
      </c>
      <c r="BE22" s="76">
        <v>0</v>
      </c>
      <c r="BF22" s="76">
        <f>22</f>
        <v>22</v>
      </c>
      <c r="BH22" s="51">
        <f>G22*AO22</f>
        <v>0</v>
      </c>
      <c r="BI22" s="51">
        <f>G22*AP22</f>
        <v>0</v>
      </c>
      <c r="BJ22" s="51">
        <f>G22*H22</f>
        <v>0</v>
      </c>
    </row>
    <row r="23" spans="3:7" ht="12.75">
      <c r="C23" s="32" t="s">
        <v>181</v>
      </c>
      <c r="D23" s="42"/>
      <c r="E23" s="42"/>
      <c r="G23" s="52">
        <v>50</v>
      </c>
    </row>
    <row r="24" spans="2:12" ht="25.5" customHeight="1">
      <c r="B24" s="24" t="s">
        <v>85</v>
      </c>
      <c r="C24" s="33" t="s">
        <v>177</v>
      </c>
      <c r="D24" s="43"/>
      <c r="E24" s="43"/>
      <c r="F24" s="43"/>
      <c r="G24" s="43"/>
      <c r="H24" s="43"/>
      <c r="I24" s="43"/>
      <c r="J24" s="43"/>
      <c r="K24" s="43"/>
      <c r="L24" s="43"/>
    </row>
    <row r="25" spans="1:62" ht="12.75">
      <c r="A25" s="10" t="s">
        <v>11</v>
      </c>
      <c r="B25" s="10" t="s">
        <v>89</v>
      </c>
      <c r="C25" s="10" t="s">
        <v>182</v>
      </c>
      <c r="D25" s="41"/>
      <c r="E25" s="41"/>
      <c r="F25" s="10" t="s">
        <v>371</v>
      </c>
      <c r="G25" s="51">
        <v>135</v>
      </c>
      <c r="H25" s="51">
        <v>0</v>
      </c>
      <c r="I25" s="51">
        <f>G25*AO25</f>
        <v>0</v>
      </c>
      <c r="J25" s="51">
        <f>G25*AP25</f>
        <v>0</v>
      </c>
      <c r="K25" s="51">
        <f>G25*H25</f>
        <v>0</v>
      </c>
      <c r="L25" s="71" t="s">
        <v>393</v>
      </c>
      <c r="Z25" s="76">
        <f>IF(AQ25="5",BJ25,0)</f>
        <v>0</v>
      </c>
      <c r="AB25" s="76">
        <f>IF(AQ25="1",BH25,0)</f>
        <v>0</v>
      </c>
      <c r="AC25" s="76">
        <f>IF(AQ25="1",BI25,0)</f>
        <v>0</v>
      </c>
      <c r="AD25" s="76">
        <f>IF(AQ25="7",BH25,0)</f>
        <v>0</v>
      </c>
      <c r="AE25" s="76">
        <f>IF(AQ25="7",BI25,0)</f>
        <v>0</v>
      </c>
      <c r="AF25" s="76">
        <f>IF(AQ25="2",BH25,0)</f>
        <v>0</v>
      </c>
      <c r="AG25" s="76">
        <f>IF(AQ25="2",BI25,0)</f>
        <v>0</v>
      </c>
      <c r="AH25" s="76">
        <f>IF(AQ25="0",BJ25,0)</f>
        <v>0</v>
      </c>
      <c r="AI25" s="72"/>
      <c r="AJ25" s="51">
        <f>IF(AN25=0,K25,0)</f>
        <v>0</v>
      </c>
      <c r="AK25" s="51">
        <f>IF(AN25=15,K25,0)</f>
        <v>0</v>
      </c>
      <c r="AL25" s="51">
        <f>IF(AN25=21,K25,0)</f>
        <v>0</v>
      </c>
      <c r="AN25" s="76">
        <v>21</v>
      </c>
      <c r="AO25" s="76">
        <f>H25*0</f>
        <v>0</v>
      </c>
      <c r="AP25" s="76">
        <f>H25*(1-0)</f>
        <v>0</v>
      </c>
      <c r="AQ25" s="71" t="s">
        <v>7</v>
      </c>
      <c r="AV25" s="76">
        <f>AW25+AX25</f>
        <v>0</v>
      </c>
      <c r="AW25" s="76">
        <f>G25*AO25</f>
        <v>0</v>
      </c>
      <c r="AX25" s="76">
        <f>G25*AP25</f>
        <v>0</v>
      </c>
      <c r="AY25" s="77" t="s">
        <v>406</v>
      </c>
      <c r="AZ25" s="77" t="s">
        <v>425</v>
      </c>
      <c r="BA25" s="72" t="s">
        <v>431</v>
      </c>
      <c r="BC25" s="76">
        <f>AW25+AX25</f>
        <v>0</v>
      </c>
      <c r="BD25" s="76">
        <f>H25/(100-BE25)*100</f>
        <v>0</v>
      </c>
      <c r="BE25" s="76">
        <v>0</v>
      </c>
      <c r="BF25" s="76">
        <f>25</f>
        <v>25</v>
      </c>
      <c r="BH25" s="51">
        <f>G25*AO25</f>
        <v>0</v>
      </c>
      <c r="BI25" s="51">
        <f>G25*AP25</f>
        <v>0</v>
      </c>
      <c r="BJ25" s="51">
        <f>G25*H25</f>
        <v>0</v>
      </c>
    </row>
    <row r="26" spans="2:12" ht="25.5" customHeight="1">
      <c r="B26" s="24" t="s">
        <v>85</v>
      </c>
      <c r="C26" s="33" t="s">
        <v>183</v>
      </c>
      <c r="D26" s="43"/>
      <c r="E26" s="43"/>
      <c r="F26" s="43"/>
      <c r="G26" s="43"/>
      <c r="H26" s="43"/>
      <c r="I26" s="43"/>
      <c r="J26" s="43"/>
      <c r="K26" s="43"/>
      <c r="L26" s="43"/>
    </row>
    <row r="27" spans="1:62" ht="12.75">
      <c r="A27" s="10" t="s">
        <v>12</v>
      </c>
      <c r="B27" s="10" t="s">
        <v>90</v>
      </c>
      <c r="C27" s="10" t="s">
        <v>184</v>
      </c>
      <c r="D27" s="41"/>
      <c r="E27" s="41"/>
      <c r="F27" s="10" t="s">
        <v>371</v>
      </c>
      <c r="G27" s="51">
        <v>715</v>
      </c>
      <c r="H27" s="51">
        <v>0</v>
      </c>
      <c r="I27" s="51">
        <f>G27*AO27</f>
        <v>0</v>
      </c>
      <c r="J27" s="51">
        <f>G27*AP27</f>
        <v>0</v>
      </c>
      <c r="K27" s="51">
        <f>G27*H27</f>
        <v>0</v>
      </c>
      <c r="L27" s="71" t="s">
        <v>393</v>
      </c>
      <c r="Z27" s="76">
        <f>IF(AQ27="5",BJ27,0)</f>
        <v>0</v>
      </c>
      <c r="AB27" s="76">
        <f>IF(AQ27="1",BH27,0)</f>
        <v>0</v>
      </c>
      <c r="AC27" s="76">
        <f>IF(AQ27="1",BI27,0)</f>
        <v>0</v>
      </c>
      <c r="AD27" s="76">
        <f>IF(AQ27="7",BH27,0)</f>
        <v>0</v>
      </c>
      <c r="AE27" s="76">
        <f>IF(AQ27="7",BI27,0)</f>
        <v>0</v>
      </c>
      <c r="AF27" s="76">
        <f>IF(AQ27="2",BH27,0)</f>
        <v>0</v>
      </c>
      <c r="AG27" s="76">
        <f>IF(AQ27="2",BI27,0)</f>
        <v>0</v>
      </c>
      <c r="AH27" s="76">
        <f>IF(AQ27="0",BJ27,0)</f>
        <v>0</v>
      </c>
      <c r="AI27" s="72"/>
      <c r="AJ27" s="51">
        <f>IF(AN27=0,K27,0)</f>
        <v>0</v>
      </c>
      <c r="AK27" s="51">
        <f>IF(AN27=15,K27,0)</f>
        <v>0</v>
      </c>
      <c r="AL27" s="51">
        <f>IF(AN27=21,K27,0)</f>
        <v>0</v>
      </c>
      <c r="AN27" s="76">
        <v>21</v>
      </c>
      <c r="AO27" s="76">
        <f>H27*0</f>
        <v>0</v>
      </c>
      <c r="AP27" s="76">
        <f>H27*(1-0)</f>
        <v>0</v>
      </c>
      <c r="AQ27" s="71" t="s">
        <v>7</v>
      </c>
      <c r="AV27" s="76">
        <f>AW27+AX27</f>
        <v>0</v>
      </c>
      <c r="AW27" s="76">
        <f>G27*AO27</f>
        <v>0</v>
      </c>
      <c r="AX27" s="76">
        <f>G27*AP27</f>
        <v>0</v>
      </c>
      <c r="AY27" s="77" t="s">
        <v>406</v>
      </c>
      <c r="AZ27" s="77" t="s">
        <v>425</v>
      </c>
      <c r="BA27" s="72" t="s">
        <v>431</v>
      </c>
      <c r="BC27" s="76">
        <f>AW27+AX27</f>
        <v>0</v>
      </c>
      <c r="BD27" s="76">
        <f>H27/(100-BE27)*100</f>
        <v>0</v>
      </c>
      <c r="BE27" s="76">
        <v>0</v>
      </c>
      <c r="BF27" s="76">
        <f>27</f>
        <v>27</v>
      </c>
      <c r="BH27" s="51">
        <f>G27*AO27</f>
        <v>0</v>
      </c>
      <c r="BI27" s="51">
        <f>G27*AP27</f>
        <v>0</v>
      </c>
      <c r="BJ27" s="51">
        <f>G27*H27</f>
        <v>0</v>
      </c>
    </row>
    <row r="28" spans="1:62" ht="12.75">
      <c r="A28" s="10" t="s">
        <v>13</v>
      </c>
      <c r="B28" s="10" t="s">
        <v>91</v>
      </c>
      <c r="C28" s="10" t="s">
        <v>185</v>
      </c>
      <c r="D28" s="41"/>
      <c r="E28" s="41"/>
      <c r="F28" s="10" t="s">
        <v>372</v>
      </c>
      <c r="G28" s="51">
        <v>190</v>
      </c>
      <c r="H28" s="51">
        <v>0</v>
      </c>
      <c r="I28" s="51">
        <f>G28*AO28</f>
        <v>0</v>
      </c>
      <c r="J28" s="51">
        <f>G28*AP28</f>
        <v>0</v>
      </c>
      <c r="K28" s="51">
        <f>G28*H28</f>
        <v>0</v>
      </c>
      <c r="L28" s="71" t="s">
        <v>393</v>
      </c>
      <c r="Z28" s="76">
        <f>IF(AQ28="5",BJ28,0)</f>
        <v>0</v>
      </c>
      <c r="AB28" s="76">
        <f>IF(AQ28="1",BH28,0)</f>
        <v>0</v>
      </c>
      <c r="AC28" s="76">
        <f>IF(AQ28="1",BI28,0)</f>
        <v>0</v>
      </c>
      <c r="AD28" s="76">
        <f>IF(AQ28="7",BH28,0)</f>
        <v>0</v>
      </c>
      <c r="AE28" s="76">
        <f>IF(AQ28="7",BI28,0)</f>
        <v>0</v>
      </c>
      <c r="AF28" s="76">
        <f>IF(AQ28="2",BH28,0)</f>
        <v>0</v>
      </c>
      <c r="AG28" s="76">
        <f>IF(AQ28="2",BI28,0)</f>
        <v>0</v>
      </c>
      <c r="AH28" s="76">
        <f>IF(AQ28="0",BJ28,0)</f>
        <v>0</v>
      </c>
      <c r="AI28" s="72"/>
      <c r="AJ28" s="51">
        <f>IF(AN28=0,K28,0)</f>
        <v>0</v>
      </c>
      <c r="AK28" s="51">
        <f>IF(AN28=15,K28,0)</f>
        <v>0</v>
      </c>
      <c r="AL28" s="51">
        <f>IF(AN28=21,K28,0)</f>
        <v>0</v>
      </c>
      <c r="AN28" s="76">
        <v>21</v>
      </c>
      <c r="AO28" s="76">
        <f>H28*0</f>
        <v>0</v>
      </c>
      <c r="AP28" s="76">
        <f>H28*(1-0)</f>
        <v>0</v>
      </c>
      <c r="AQ28" s="71" t="s">
        <v>7</v>
      </c>
      <c r="AV28" s="76">
        <f>AW28+AX28</f>
        <v>0</v>
      </c>
      <c r="AW28" s="76">
        <f>G28*AO28</f>
        <v>0</v>
      </c>
      <c r="AX28" s="76">
        <f>G28*AP28</f>
        <v>0</v>
      </c>
      <c r="AY28" s="77" t="s">
        <v>406</v>
      </c>
      <c r="AZ28" s="77" t="s">
        <v>425</v>
      </c>
      <c r="BA28" s="72" t="s">
        <v>431</v>
      </c>
      <c r="BC28" s="76">
        <f>AW28+AX28</f>
        <v>0</v>
      </c>
      <c r="BD28" s="76">
        <f>H28/(100-BE28)*100</f>
        <v>0</v>
      </c>
      <c r="BE28" s="76">
        <v>0</v>
      </c>
      <c r="BF28" s="76">
        <f>28</f>
        <v>28</v>
      </c>
      <c r="BH28" s="51">
        <f>G28*AO28</f>
        <v>0</v>
      </c>
      <c r="BI28" s="51">
        <f>G28*AP28</f>
        <v>0</v>
      </c>
      <c r="BJ28" s="51">
        <f>G28*H28</f>
        <v>0</v>
      </c>
    </row>
    <row r="29" spans="1:47" ht="12.75">
      <c r="A29" s="11"/>
      <c r="B29" s="25" t="s">
        <v>18</v>
      </c>
      <c r="C29" s="25" t="s">
        <v>186</v>
      </c>
      <c r="D29" s="44"/>
      <c r="E29" s="44"/>
      <c r="F29" s="11" t="s">
        <v>6</v>
      </c>
      <c r="G29" s="11" t="s">
        <v>6</v>
      </c>
      <c r="H29" s="11" t="s">
        <v>6</v>
      </c>
      <c r="I29" s="79">
        <f>SUM(I30:I34)</f>
        <v>0</v>
      </c>
      <c r="J29" s="79">
        <f>SUM(J30:J34)</f>
        <v>0</v>
      </c>
      <c r="K29" s="79">
        <f>SUM(K30:K34)</f>
        <v>0</v>
      </c>
      <c r="L29" s="72"/>
      <c r="AI29" s="72"/>
      <c r="AS29" s="79">
        <f>SUM(AJ30:AJ34)</f>
        <v>0</v>
      </c>
      <c r="AT29" s="79">
        <f>SUM(AK30:AK34)</f>
        <v>0</v>
      </c>
      <c r="AU29" s="79">
        <f>SUM(AL30:AL34)</f>
        <v>0</v>
      </c>
    </row>
    <row r="30" spans="1:62" ht="12.75">
      <c r="A30" s="10" t="s">
        <v>14</v>
      </c>
      <c r="B30" s="10" t="s">
        <v>92</v>
      </c>
      <c r="C30" s="10" t="s">
        <v>187</v>
      </c>
      <c r="D30" s="41"/>
      <c r="E30" s="41"/>
      <c r="F30" s="10" t="s">
        <v>373</v>
      </c>
      <c r="G30" s="51">
        <v>24.2</v>
      </c>
      <c r="H30" s="51">
        <v>0</v>
      </c>
      <c r="I30" s="51">
        <f>G30*AO30</f>
        <v>0</v>
      </c>
      <c r="J30" s="51">
        <f>G30*AP30</f>
        <v>0</v>
      </c>
      <c r="K30" s="51">
        <f>G30*H30</f>
        <v>0</v>
      </c>
      <c r="L30" s="71" t="s">
        <v>393</v>
      </c>
      <c r="Z30" s="76">
        <f>IF(AQ30="5",BJ30,0)</f>
        <v>0</v>
      </c>
      <c r="AB30" s="76">
        <f>IF(AQ30="1",BH30,0)</f>
        <v>0</v>
      </c>
      <c r="AC30" s="76">
        <f>IF(AQ30="1",BI30,0)</f>
        <v>0</v>
      </c>
      <c r="AD30" s="76">
        <f>IF(AQ30="7",BH30,0)</f>
        <v>0</v>
      </c>
      <c r="AE30" s="76">
        <f>IF(AQ30="7",BI30,0)</f>
        <v>0</v>
      </c>
      <c r="AF30" s="76">
        <f>IF(AQ30="2",BH30,0)</f>
        <v>0</v>
      </c>
      <c r="AG30" s="76">
        <f>IF(AQ30="2",BI30,0)</f>
        <v>0</v>
      </c>
      <c r="AH30" s="76">
        <f>IF(AQ30="0",BJ30,0)</f>
        <v>0</v>
      </c>
      <c r="AI30" s="72"/>
      <c r="AJ30" s="51">
        <f>IF(AN30=0,K30,0)</f>
        <v>0</v>
      </c>
      <c r="AK30" s="51">
        <f>IF(AN30=15,K30,0)</f>
        <v>0</v>
      </c>
      <c r="AL30" s="51">
        <f>IF(AN30=21,K30,0)</f>
        <v>0</v>
      </c>
      <c r="AN30" s="76">
        <v>21</v>
      </c>
      <c r="AO30" s="76">
        <f>H30*0</f>
        <v>0</v>
      </c>
      <c r="AP30" s="76">
        <f>H30*(1-0)</f>
        <v>0</v>
      </c>
      <c r="AQ30" s="71" t="s">
        <v>7</v>
      </c>
      <c r="AV30" s="76">
        <f>AW30+AX30</f>
        <v>0</v>
      </c>
      <c r="AW30" s="76">
        <f>G30*AO30</f>
        <v>0</v>
      </c>
      <c r="AX30" s="76">
        <f>G30*AP30</f>
        <v>0</v>
      </c>
      <c r="AY30" s="77" t="s">
        <v>407</v>
      </c>
      <c r="AZ30" s="77" t="s">
        <v>425</v>
      </c>
      <c r="BA30" s="72" t="s">
        <v>431</v>
      </c>
      <c r="BC30" s="76">
        <f>AW30+AX30</f>
        <v>0</v>
      </c>
      <c r="BD30" s="76">
        <f>H30/(100-BE30)*100</f>
        <v>0</v>
      </c>
      <c r="BE30" s="76">
        <v>0</v>
      </c>
      <c r="BF30" s="76">
        <f>30</f>
        <v>30</v>
      </c>
      <c r="BH30" s="51">
        <f>G30*AO30</f>
        <v>0</v>
      </c>
      <c r="BI30" s="51">
        <f>G30*AP30</f>
        <v>0</v>
      </c>
      <c r="BJ30" s="51">
        <f>G30*H30</f>
        <v>0</v>
      </c>
    </row>
    <row r="31" spans="3:7" ht="12.75">
      <c r="C31" s="32" t="s">
        <v>188</v>
      </c>
      <c r="D31" s="42"/>
      <c r="E31" s="42"/>
      <c r="G31" s="52">
        <v>24.2</v>
      </c>
    </row>
    <row r="32" spans="2:12" ht="12.75">
      <c r="B32" s="24" t="s">
        <v>85</v>
      </c>
      <c r="C32" s="33" t="s">
        <v>189</v>
      </c>
      <c r="D32" s="43"/>
      <c r="E32" s="43"/>
      <c r="F32" s="43"/>
      <c r="G32" s="43"/>
      <c r="H32" s="43"/>
      <c r="I32" s="43"/>
      <c r="J32" s="43"/>
      <c r="K32" s="43"/>
      <c r="L32" s="43"/>
    </row>
    <row r="33" spans="1:62" ht="12.75">
      <c r="A33" s="10" t="s">
        <v>15</v>
      </c>
      <c r="B33" s="10" t="s">
        <v>93</v>
      </c>
      <c r="C33" s="10" t="s">
        <v>190</v>
      </c>
      <c r="D33" s="41"/>
      <c r="E33" s="41"/>
      <c r="F33" s="10" t="s">
        <v>373</v>
      </c>
      <c r="G33" s="51">
        <v>88</v>
      </c>
      <c r="H33" s="51">
        <v>0</v>
      </c>
      <c r="I33" s="51">
        <f>G33*AO33</f>
        <v>0</v>
      </c>
      <c r="J33" s="51">
        <f>G33*AP33</f>
        <v>0</v>
      </c>
      <c r="K33" s="51">
        <f>G33*H33</f>
        <v>0</v>
      </c>
      <c r="L33" s="71" t="s">
        <v>393</v>
      </c>
      <c r="Z33" s="76">
        <f>IF(AQ33="5",BJ33,0)</f>
        <v>0</v>
      </c>
      <c r="AB33" s="76">
        <f>IF(AQ33="1",BH33,0)</f>
        <v>0</v>
      </c>
      <c r="AC33" s="76">
        <f>IF(AQ33="1",BI33,0)</f>
        <v>0</v>
      </c>
      <c r="AD33" s="76">
        <f>IF(AQ33="7",BH33,0)</f>
        <v>0</v>
      </c>
      <c r="AE33" s="76">
        <f>IF(AQ33="7",BI33,0)</f>
        <v>0</v>
      </c>
      <c r="AF33" s="76">
        <f>IF(AQ33="2",BH33,0)</f>
        <v>0</v>
      </c>
      <c r="AG33" s="76">
        <f>IF(AQ33="2",BI33,0)</f>
        <v>0</v>
      </c>
      <c r="AH33" s="76">
        <f>IF(AQ33="0",BJ33,0)</f>
        <v>0</v>
      </c>
      <c r="AI33" s="72"/>
      <c r="AJ33" s="51">
        <f>IF(AN33=0,K33,0)</f>
        <v>0</v>
      </c>
      <c r="AK33" s="51">
        <f>IF(AN33=15,K33,0)</f>
        <v>0</v>
      </c>
      <c r="AL33" s="51">
        <f>IF(AN33=21,K33,0)</f>
        <v>0</v>
      </c>
      <c r="AN33" s="76">
        <v>21</v>
      </c>
      <c r="AO33" s="76">
        <f>H33*0</f>
        <v>0</v>
      </c>
      <c r="AP33" s="76">
        <f>H33*(1-0)</f>
        <v>0</v>
      </c>
      <c r="AQ33" s="71" t="s">
        <v>7</v>
      </c>
      <c r="AV33" s="76">
        <f>AW33+AX33</f>
        <v>0</v>
      </c>
      <c r="AW33" s="76">
        <f>G33*AO33</f>
        <v>0</v>
      </c>
      <c r="AX33" s="76">
        <f>G33*AP33</f>
        <v>0</v>
      </c>
      <c r="AY33" s="77" t="s">
        <v>407</v>
      </c>
      <c r="AZ33" s="77" t="s">
        <v>425</v>
      </c>
      <c r="BA33" s="72" t="s">
        <v>431</v>
      </c>
      <c r="BC33" s="76">
        <f>AW33+AX33</f>
        <v>0</v>
      </c>
      <c r="BD33" s="76">
        <f>H33/(100-BE33)*100</f>
        <v>0</v>
      </c>
      <c r="BE33" s="76">
        <v>0</v>
      </c>
      <c r="BF33" s="76">
        <f>33</f>
        <v>33</v>
      </c>
      <c r="BH33" s="51">
        <f>G33*AO33</f>
        <v>0</v>
      </c>
      <c r="BI33" s="51">
        <f>G33*AP33</f>
        <v>0</v>
      </c>
      <c r="BJ33" s="51">
        <f>G33*H33</f>
        <v>0</v>
      </c>
    </row>
    <row r="34" spans="1:62" ht="12.75">
      <c r="A34" s="10" t="s">
        <v>16</v>
      </c>
      <c r="B34" s="10" t="s">
        <v>94</v>
      </c>
      <c r="C34" s="10" t="s">
        <v>191</v>
      </c>
      <c r="D34" s="41"/>
      <c r="E34" s="41"/>
      <c r="F34" s="10" t="s">
        <v>373</v>
      </c>
      <c r="G34" s="51">
        <v>44</v>
      </c>
      <c r="H34" s="51">
        <v>0</v>
      </c>
      <c r="I34" s="51">
        <f>G34*AO34</f>
        <v>0</v>
      </c>
      <c r="J34" s="51">
        <f>G34*AP34</f>
        <v>0</v>
      </c>
      <c r="K34" s="51">
        <f>G34*H34</f>
        <v>0</v>
      </c>
      <c r="L34" s="71" t="s">
        <v>393</v>
      </c>
      <c r="Z34" s="76">
        <f>IF(AQ34="5",BJ34,0)</f>
        <v>0</v>
      </c>
      <c r="AB34" s="76">
        <f>IF(AQ34="1",BH34,0)</f>
        <v>0</v>
      </c>
      <c r="AC34" s="76">
        <f>IF(AQ34="1",BI34,0)</f>
        <v>0</v>
      </c>
      <c r="AD34" s="76">
        <f>IF(AQ34="7",BH34,0)</f>
        <v>0</v>
      </c>
      <c r="AE34" s="76">
        <f>IF(AQ34="7",BI34,0)</f>
        <v>0</v>
      </c>
      <c r="AF34" s="76">
        <f>IF(AQ34="2",BH34,0)</f>
        <v>0</v>
      </c>
      <c r="AG34" s="76">
        <f>IF(AQ34="2",BI34,0)</f>
        <v>0</v>
      </c>
      <c r="AH34" s="76">
        <f>IF(AQ34="0",BJ34,0)</f>
        <v>0</v>
      </c>
      <c r="AI34" s="72"/>
      <c r="AJ34" s="51">
        <f>IF(AN34=0,K34,0)</f>
        <v>0</v>
      </c>
      <c r="AK34" s="51">
        <f>IF(AN34=15,K34,0)</f>
        <v>0</v>
      </c>
      <c r="AL34" s="51">
        <f>IF(AN34=21,K34,0)</f>
        <v>0</v>
      </c>
      <c r="AN34" s="76">
        <v>21</v>
      </c>
      <c r="AO34" s="76">
        <f>H34*0</f>
        <v>0</v>
      </c>
      <c r="AP34" s="76">
        <f>H34*(1-0)</f>
        <v>0</v>
      </c>
      <c r="AQ34" s="71" t="s">
        <v>7</v>
      </c>
      <c r="AV34" s="76">
        <f>AW34+AX34</f>
        <v>0</v>
      </c>
      <c r="AW34" s="76">
        <f>G34*AO34</f>
        <v>0</v>
      </c>
      <c r="AX34" s="76">
        <f>G34*AP34</f>
        <v>0</v>
      </c>
      <c r="AY34" s="77" t="s">
        <v>407</v>
      </c>
      <c r="AZ34" s="77" t="s">
        <v>425</v>
      </c>
      <c r="BA34" s="72" t="s">
        <v>431</v>
      </c>
      <c r="BC34" s="76">
        <f>AW34+AX34</f>
        <v>0</v>
      </c>
      <c r="BD34" s="76">
        <f>H34/(100-BE34)*100</f>
        <v>0</v>
      </c>
      <c r="BE34" s="76">
        <v>0</v>
      </c>
      <c r="BF34" s="76">
        <f>34</f>
        <v>34</v>
      </c>
      <c r="BH34" s="51">
        <f>G34*AO34</f>
        <v>0</v>
      </c>
      <c r="BI34" s="51">
        <f>G34*AP34</f>
        <v>0</v>
      </c>
      <c r="BJ34" s="51">
        <f>G34*H34</f>
        <v>0</v>
      </c>
    </row>
    <row r="35" spans="3:7" ht="12.75">
      <c r="C35" s="32" t="s">
        <v>192</v>
      </c>
      <c r="D35" s="42"/>
      <c r="E35" s="42"/>
      <c r="G35" s="52">
        <v>44</v>
      </c>
    </row>
    <row r="36" spans="2:12" ht="12.75">
      <c r="B36" s="24" t="s">
        <v>85</v>
      </c>
      <c r="C36" s="33" t="s">
        <v>193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1:47" ht="12.75">
      <c r="A37" s="11"/>
      <c r="B37" s="25" t="s">
        <v>19</v>
      </c>
      <c r="C37" s="25" t="s">
        <v>194</v>
      </c>
      <c r="D37" s="44"/>
      <c r="E37" s="44"/>
      <c r="F37" s="11" t="s">
        <v>6</v>
      </c>
      <c r="G37" s="11" t="s">
        <v>6</v>
      </c>
      <c r="H37" s="11" t="s">
        <v>6</v>
      </c>
      <c r="I37" s="79">
        <f>SUM(I38:I55)</f>
        <v>0</v>
      </c>
      <c r="J37" s="79">
        <f>SUM(J38:J55)</f>
        <v>0</v>
      </c>
      <c r="K37" s="79">
        <f>SUM(K38:K55)</f>
        <v>0</v>
      </c>
      <c r="L37" s="72"/>
      <c r="AI37" s="72"/>
      <c r="AS37" s="79">
        <f>SUM(AJ38:AJ55)</f>
        <v>0</v>
      </c>
      <c r="AT37" s="79">
        <f>SUM(AK38:AK55)</f>
        <v>0</v>
      </c>
      <c r="AU37" s="79">
        <f>SUM(AL38:AL55)</f>
        <v>0</v>
      </c>
    </row>
    <row r="38" spans="1:62" ht="12.75">
      <c r="A38" s="10" t="s">
        <v>17</v>
      </c>
      <c r="B38" s="10" t="s">
        <v>95</v>
      </c>
      <c r="C38" s="10" t="s">
        <v>195</v>
      </c>
      <c r="D38" s="41"/>
      <c r="E38" s="41"/>
      <c r="F38" s="10" t="s">
        <v>373</v>
      </c>
      <c r="G38" s="51">
        <v>21.375</v>
      </c>
      <c r="H38" s="51">
        <v>0</v>
      </c>
      <c r="I38" s="51">
        <f>G38*AO38</f>
        <v>0</v>
      </c>
      <c r="J38" s="51">
        <f>G38*AP38</f>
        <v>0</v>
      </c>
      <c r="K38" s="51">
        <f>G38*H38</f>
        <v>0</v>
      </c>
      <c r="L38" s="71" t="s">
        <v>393</v>
      </c>
      <c r="Z38" s="76">
        <f>IF(AQ38="5",BJ38,0)</f>
        <v>0</v>
      </c>
      <c r="AB38" s="76">
        <f>IF(AQ38="1",BH38,0)</f>
        <v>0</v>
      </c>
      <c r="AC38" s="76">
        <f>IF(AQ38="1",BI38,0)</f>
        <v>0</v>
      </c>
      <c r="AD38" s="76">
        <f>IF(AQ38="7",BH38,0)</f>
        <v>0</v>
      </c>
      <c r="AE38" s="76">
        <f>IF(AQ38="7",BI38,0)</f>
        <v>0</v>
      </c>
      <c r="AF38" s="76">
        <f>IF(AQ38="2",BH38,0)</f>
        <v>0</v>
      </c>
      <c r="AG38" s="76">
        <f>IF(AQ38="2",BI38,0)</f>
        <v>0</v>
      </c>
      <c r="AH38" s="76">
        <f>IF(AQ38="0",BJ38,0)</f>
        <v>0</v>
      </c>
      <c r="AI38" s="72"/>
      <c r="AJ38" s="51">
        <f>IF(AN38=0,K38,0)</f>
        <v>0</v>
      </c>
      <c r="AK38" s="51">
        <f>IF(AN38=15,K38,0)</f>
        <v>0</v>
      </c>
      <c r="AL38" s="51">
        <f>IF(AN38=21,K38,0)</f>
        <v>0</v>
      </c>
      <c r="AN38" s="76">
        <v>21</v>
      </c>
      <c r="AO38" s="76">
        <f>H38*0</f>
        <v>0</v>
      </c>
      <c r="AP38" s="76">
        <f>H38*(1-0)</f>
        <v>0</v>
      </c>
      <c r="AQ38" s="71" t="s">
        <v>7</v>
      </c>
      <c r="AV38" s="76">
        <f>AW38+AX38</f>
        <v>0</v>
      </c>
      <c r="AW38" s="76">
        <f>G38*AO38</f>
        <v>0</v>
      </c>
      <c r="AX38" s="76">
        <f>G38*AP38</f>
        <v>0</v>
      </c>
      <c r="AY38" s="77" t="s">
        <v>408</v>
      </c>
      <c r="AZ38" s="77" t="s">
        <v>425</v>
      </c>
      <c r="BA38" s="72" t="s">
        <v>431</v>
      </c>
      <c r="BC38" s="76">
        <f>AW38+AX38</f>
        <v>0</v>
      </c>
      <c r="BD38" s="76">
        <f>H38/(100-BE38)*100</f>
        <v>0</v>
      </c>
      <c r="BE38" s="76">
        <v>0</v>
      </c>
      <c r="BF38" s="76">
        <f>38</f>
        <v>38</v>
      </c>
      <c r="BH38" s="51">
        <f>G38*AO38</f>
        <v>0</v>
      </c>
      <c r="BI38" s="51">
        <f>G38*AP38</f>
        <v>0</v>
      </c>
      <c r="BJ38" s="51">
        <f>G38*H38</f>
        <v>0</v>
      </c>
    </row>
    <row r="39" spans="3:7" ht="12.75">
      <c r="C39" s="32" t="s">
        <v>196</v>
      </c>
      <c r="D39" s="42"/>
      <c r="E39" s="42"/>
      <c r="G39" s="52">
        <v>12.6</v>
      </c>
    </row>
    <row r="40" spans="3:7" ht="12.75">
      <c r="C40" s="32" t="s">
        <v>197</v>
      </c>
      <c r="D40" s="42"/>
      <c r="E40" s="42"/>
      <c r="G40" s="52">
        <v>8.775</v>
      </c>
    </row>
    <row r="41" spans="2:12" ht="12.75">
      <c r="B41" s="24" t="s">
        <v>85</v>
      </c>
      <c r="C41" s="33" t="s">
        <v>198</v>
      </c>
      <c r="D41" s="43"/>
      <c r="E41" s="43"/>
      <c r="F41" s="43"/>
      <c r="G41" s="43"/>
      <c r="H41" s="43"/>
      <c r="I41" s="43"/>
      <c r="J41" s="43"/>
      <c r="K41" s="43"/>
      <c r="L41" s="43"/>
    </row>
    <row r="42" spans="1:62" ht="12.75">
      <c r="A42" s="10" t="s">
        <v>18</v>
      </c>
      <c r="B42" s="10" t="s">
        <v>96</v>
      </c>
      <c r="C42" s="10" t="s">
        <v>199</v>
      </c>
      <c r="D42" s="41"/>
      <c r="E42" s="41"/>
      <c r="F42" s="10" t="s">
        <v>373</v>
      </c>
      <c r="G42" s="51">
        <v>10.6875</v>
      </c>
      <c r="H42" s="51">
        <v>0</v>
      </c>
      <c r="I42" s="51">
        <f>G42*AO42</f>
        <v>0</v>
      </c>
      <c r="J42" s="51">
        <f>G42*AP42</f>
        <v>0</v>
      </c>
      <c r="K42" s="51">
        <f>G42*H42</f>
        <v>0</v>
      </c>
      <c r="L42" s="71" t="s">
        <v>393</v>
      </c>
      <c r="Z42" s="76">
        <f>IF(AQ42="5",BJ42,0)</f>
        <v>0</v>
      </c>
      <c r="AB42" s="76">
        <f>IF(AQ42="1",BH42,0)</f>
        <v>0</v>
      </c>
      <c r="AC42" s="76">
        <f>IF(AQ42="1",BI42,0)</f>
        <v>0</v>
      </c>
      <c r="AD42" s="76">
        <f>IF(AQ42="7",BH42,0)</f>
        <v>0</v>
      </c>
      <c r="AE42" s="76">
        <f>IF(AQ42="7",BI42,0)</f>
        <v>0</v>
      </c>
      <c r="AF42" s="76">
        <f>IF(AQ42="2",BH42,0)</f>
        <v>0</v>
      </c>
      <c r="AG42" s="76">
        <f>IF(AQ42="2",BI42,0)</f>
        <v>0</v>
      </c>
      <c r="AH42" s="76">
        <f>IF(AQ42="0",BJ42,0)</f>
        <v>0</v>
      </c>
      <c r="AI42" s="72"/>
      <c r="AJ42" s="51">
        <f>IF(AN42=0,K42,0)</f>
        <v>0</v>
      </c>
      <c r="AK42" s="51">
        <f>IF(AN42=15,K42,0)</f>
        <v>0</v>
      </c>
      <c r="AL42" s="51">
        <f>IF(AN42=21,K42,0)</f>
        <v>0</v>
      </c>
      <c r="AN42" s="76">
        <v>21</v>
      </c>
      <c r="AO42" s="76">
        <f>H42*0</f>
        <v>0</v>
      </c>
      <c r="AP42" s="76">
        <f>H42*(1-0)</f>
        <v>0</v>
      </c>
      <c r="AQ42" s="71" t="s">
        <v>7</v>
      </c>
      <c r="AV42" s="76">
        <f>AW42+AX42</f>
        <v>0</v>
      </c>
      <c r="AW42" s="76">
        <f>G42*AO42</f>
        <v>0</v>
      </c>
      <c r="AX42" s="76">
        <f>G42*AP42</f>
        <v>0</v>
      </c>
      <c r="AY42" s="77" t="s">
        <v>408</v>
      </c>
      <c r="AZ42" s="77" t="s">
        <v>425</v>
      </c>
      <c r="BA42" s="72" t="s">
        <v>431</v>
      </c>
      <c r="BC42" s="76">
        <f>AW42+AX42</f>
        <v>0</v>
      </c>
      <c r="BD42" s="76">
        <f>H42/(100-BE42)*100</f>
        <v>0</v>
      </c>
      <c r="BE42" s="76">
        <v>0</v>
      </c>
      <c r="BF42" s="76">
        <f>42</f>
        <v>42</v>
      </c>
      <c r="BH42" s="51">
        <f>G42*AO42</f>
        <v>0</v>
      </c>
      <c r="BI42" s="51">
        <f>G42*AP42</f>
        <v>0</v>
      </c>
      <c r="BJ42" s="51">
        <f>G42*H42</f>
        <v>0</v>
      </c>
    </row>
    <row r="43" spans="3:7" ht="12.75">
      <c r="C43" s="32" t="s">
        <v>200</v>
      </c>
      <c r="D43" s="42"/>
      <c r="E43" s="42"/>
      <c r="G43" s="52">
        <v>10.6875</v>
      </c>
    </row>
    <row r="44" spans="2:12" ht="12.75">
      <c r="B44" s="24" t="s">
        <v>85</v>
      </c>
      <c r="C44" s="33" t="s">
        <v>193</v>
      </c>
      <c r="D44" s="43"/>
      <c r="E44" s="43"/>
      <c r="F44" s="43"/>
      <c r="G44" s="43"/>
      <c r="H44" s="43"/>
      <c r="I44" s="43"/>
      <c r="J44" s="43"/>
      <c r="K44" s="43"/>
      <c r="L44" s="43"/>
    </row>
    <row r="45" spans="1:62" ht="12.75">
      <c r="A45" s="10" t="s">
        <v>19</v>
      </c>
      <c r="B45" s="10" t="s">
        <v>97</v>
      </c>
      <c r="C45" s="10" t="s">
        <v>201</v>
      </c>
      <c r="D45" s="41"/>
      <c r="E45" s="41"/>
      <c r="F45" s="10" t="s">
        <v>373</v>
      </c>
      <c r="G45" s="51">
        <v>42.144</v>
      </c>
      <c r="H45" s="51">
        <v>0</v>
      </c>
      <c r="I45" s="51">
        <f>G45*AO45</f>
        <v>0</v>
      </c>
      <c r="J45" s="51">
        <f>G45*AP45</f>
        <v>0</v>
      </c>
      <c r="K45" s="51">
        <f>G45*H45</f>
        <v>0</v>
      </c>
      <c r="L45" s="71" t="s">
        <v>393</v>
      </c>
      <c r="Z45" s="76">
        <f>IF(AQ45="5",BJ45,0)</f>
        <v>0</v>
      </c>
      <c r="AB45" s="76">
        <f>IF(AQ45="1",BH45,0)</f>
        <v>0</v>
      </c>
      <c r="AC45" s="76">
        <f>IF(AQ45="1",BI45,0)</f>
        <v>0</v>
      </c>
      <c r="AD45" s="76">
        <f>IF(AQ45="7",BH45,0)</f>
        <v>0</v>
      </c>
      <c r="AE45" s="76">
        <f>IF(AQ45="7",BI45,0)</f>
        <v>0</v>
      </c>
      <c r="AF45" s="76">
        <f>IF(AQ45="2",BH45,0)</f>
        <v>0</v>
      </c>
      <c r="AG45" s="76">
        <f>IF(AQ45="2",BI45,0)</f>
        <v>0</v>
      </c>
      <c r="AH45" s="76">
        <f>IF(AQ45="0",BJ45,0)</f>
        <v>0</v>
      </c>
      <c r="AI45" s="72"/>
      <c r="AJ45" s="51">
        <f>IF(AN45=0,K45,0)</f>
        <v>0</v>
      </c>
      <c r="AK45" s="51">
        <f>IF(AN45=15,K45,0)</f>
        <v>0</v>
      </c>
      <c r="AL45" s="51">
        <f>IF(AN45=21,K45,0)</f>
        <v>0</v>
      </c>
      <c r="AN45" s="76">
        <v>21</v>
      </c>
      <c r="AO45" s="76">
        <f>H45*0</f>
        <v>0</v>
      </c>
      <c r="AP45" s="76">
        <f>H45*(1-0)</f>
        <v>0</v>
      </c>
      <c r="AQ45" s="71" t="s">
        <v>7</v>
      </c>
      <c r="AV45" s="76">
        <f>AW45+AX45</f>
        <v>0</v>
      </c>
      <c r="AW45" s="76">
        <f>G45*AO45</f>
        <v>0</v>
      </c>
      <c r="AX45" s="76">
        <f>G45*AP45</f>
        <v>0</v>
      </c>
      <c r="AY45" s="77" t="s">
        <v>408</v>
      </c>
      <c r="AZ45" s="77" t="s">
        <v>425</v>
      </c>
      <c r="BA45" s="72" t="s">
        <v>431</v>
      </c>
      <c r="BC45" s="76">
        <f>AW45+AX45</f>
        <v>0</v>
      </c>
      <c r="BD45" s="76">
        <f>H45/(100-BE45)*100</f>
        <v>0</v>
      </c>
      <c r="BE45" s="76">
        <v>0</v>
      </c>
      <c r="BF45" s="76">
        <f>45</f>
        <v>45</v>
      </c>
      <c r="BH45" s="51">
        <f>G45*AO45</f>
        <v>0</v>
      </c>
      <c r="BI45" s="51">
        <f>G45*AP45</f>
        <v>0</v>
      </c>
      <c r="BJ45" s="51">
        <f>G45*H45</f>
        <v>0</v>
      </c>
    </row>
    <row r="46" spans="3:7" ht="12.75">
      <c r="C46" s="32" t="s">
        <v>202</v>
      </c>
      <c r="D46" s="42"/>
      <c r="E46" s="42"/>
      <c r="G46" s="52">
        <v>34.656</v>
      </c>
    </row>
    <row r="47" spans="3:7" ht="12.75">
      <c r="C47" s="32" t="s">
        <v>203</v>
      </c>
      <c r="D47" s="42"/>
      <c r="E47" s="42"/>
      <c r="G47" s="52">
        <v>7.488</v>
      </c>
    </row>
    <row r="48" spans="2:12" ht="38.25" customHeight="1">
      <c r="B48" s="24" t="s">
        <v>85</v>
      </c>
      <c r="C48" s="33" t="s">
        <v>204</v>
      </c>
      <c r="D48" s="43"/>
      <c r="E48" s="43"/>
      <c r="F48" s="43"/>
      <c r="G48" s="43"/>
      <c r="H48" s="43"/>
      <c r="I48" s="43"/>
      <c r="J48" s="43"/>
      <c r="K48" s="43"/>
      <c r="L48" s="43"/>
    </row>
    <row r="49" spans="1:62" ht="12.75">
      <c r="A49" s="10" t="s">
        <v>20</v>
      </c>
      <c r="B49" s="10" t="s">
        <v>98</v>
      </c>
      <c r="C49" s="10" t="s">
        <v>205</v>
      </c>
      <c r="D49" s="41"/>
      <c r="E49" s="41"/>
      <c r="F49" s="10" t="s">
        <v>373</v>
      </c>
      <c r="G49" s="51">
        <v>21.05</v>
      </c>
      <c r="H49" s="51">
        <v>0</v>
      </c>
      <c r="I49" s="51">
        <f>G49*AO49</f>
        <v>0</v>
      </c>
      <c r="J49" s="51">
        <f>G49*AP49</f>
        <v>0</v>
      </c>
      <c r="K49" s="51">
        <f>G49*H49</f>
        <v>0</v>
      </c>
      <c r="L49" s="71" t="s">
        <v>393</v>
      </c>
      <c r="Z49" s="76">
        <f>IF(AQ49="5",BJ49,0)</f>
        <v>0</v>
      </c>
      <c r="AB49" s="76">
        <f>IF(AQ49="1",BH49,0)</f>
        <v>0</v>
      </c>
      <c r="AC49" s="76">
        <f>IF(AQ49="1",BI49,0)</f>
        <v>0</v>
      </c>
      <c r="AD49" s="76">
        <f>IF(AQ49="7",BH49,0)</f>
        <v>0</v>
      </c>
      <c r="AE49" s="76">
        <f>IF(AQ49="7",BI49,0)</f>
        <v>0</v>
      </c>
      <c r="AF49" s="76">
        <f>IF(AQ49="2",BH49,0)</f>
        <v>0</v>
      </c>
      <c r="AG49" s="76">
        <f>IF(AQ49="2",BI49,0)</f>
        <v>0</v>
      </c>
      <c r="AH49" s="76">
        <f>IF(AQ49="0",BJ49,0)</f>
        <v>0</v>
      </c>
      <c r="AI49" s="72"/>
      <c r="AJ49" s="51">
        <f>IF(AN49=0,K49,0)</f>
        <v>0</v>
      </c>
      <c r="AK49" s="51">
        <f>IF(AN49=15,K49,0)</f>
        <v>0</v>
      </c>
      <c r="AL49" s="51">
        <f>IF(AN49=21,K49,0)</f>
        <v>0</v>
      </c>
      <c r="AN49" s="76">
        <v>21</v>
      </c>
      <c r="AO49" s="76">
        <f>H49*0</f>
        <v>0</v>
      </c>
      <c r="AP49" s="76">
        <f>H49*(1-0)</f>
        <v>0</v>
      </c>
      <c r="AQ49" s="71" t="s">
        <v>7</v>
      </c>
      <c r="AV49" s="76">
        <f>AW49+AX49</f>
        <v>0</v>
      </c>
      <c r="AW49" s="76">
        <f>G49*AO49</f>
        <v>0</v>
      </c>
      <c r="AX49" s="76">
        <f>G49*AP49</f>
        <v>0</v>
      </c>
      <c r="AY49" s="77" t="s">
        <v>408</v>
      </c>
      <c r="AZ49" s="77" t="s">
        <v>425</v>
      </c>
      <c r="BA49" s="72" t="s">
        <v>431</v>
      </c>
      <c r="BC49" s="76">
        <f>AW49+AX49</f>
        <v>0</v>
      </c>
      <c r="BD49" s="76">
        <f>H49/(100-BE49)*100</f>
        <v>0</v>
      </c>
      <c r="BE49" s="76">
        <v>0</v>
      </c>
      <c r="BF49" s="76">
        <f>49</f>
        <v>49</v>
      </c>
      <c r="BH49" s="51">
        <f>G49*AO49</f>
        <v>0</v>
      </c>
      <c r="BI49" s="51">
        <f>G49*AP49</f>
        <v>0</v>
      </c>
      <c r="BJ49" s="51">
        <f>G49*H49</f>
        <v>0</v>
      </c>
    </row>
    <row r="50" spans="3:7" ht="12.75">
      <c r="C50" s="32" t="s">
        <v>206</v>
      </c>
      <c r="D50" s="42"/>
      <c r="E50" s="42"/>
      <c r="G50" s="52">
        <v>21.05</v>
      </c>
    </row>
    <row r="51" spans="2:12" ht="12.75">
      <c r="B51" s="24" t="s">
        <v>85</v>
      </c>
      <c r="C51" s="33" t="s">
        <v>193</v>
      </c>
      <c r="D51" s="43"/>
      <c r="E51" s="43"/>
      <c r="F51" s="43"/>
      <c r="G51" s="43"/>
      <c r="H51" s="43"/>
      <c r="I51" s="43"/>
      <c r="J51" s="43"/>
      <c r="K51" s="43"/>
      <c r="L51" s="43"/>
    </row>
    <row r="52" spans="1:62" ht="12.75">
      <c r="A52" s="10" t="s">
        <v>21</v>
      </c>
      <c r="B52" s="10" t="s">
        <v>99</v>
      </c>
      <c r="C52" s="10" t="s">
        <v>207</v>
      </c>
      <c r="D52" s="41"/>
      <c r="E52" s="41"/>
      <c r="F52" s="10" t="s">
        <v>373</v>
      </c>
      <c r="G52" s="51">
        <v>7.7</v>
      </c>
      <c r="H52" s="51">
        <v>0</v>
      </c>
      <c r="I52" s="51">
        <f>G52*AO52</f>
        <v>0</v>
      </c>
      <c r="J52" s="51">
        <f>G52*AP52</f>
        <v>0</v>
      </c>
      <c r="K52" s="51">
        <f>G52*H52</f>
        <v>0</v>
      </c>
      <c r="L52" s="71" t="s">
        <v>394</v>
      </c>
      <c r="Z52" s="76">
        <f>IF(AQ52="5",BJ52,0)</f>
        <v>0</v>
      </c>
      <c r="AB52" s="76">
        <f>IF(AQ52="1",BH52,0)</f>
        <v>0</v>
      </c>
      <c r="AC52" s="76">
        <f>IF(AQ52="1",BI52,0)</f>
        <v>0</v>
      </c>
      <c r="AD52" s="76">
        <f>IF(AQ52="7",BH52,0)</f>
        <v>0</v>
      </c>
      <c r="AE52" s="76">
        <f>IF(AQ52="7",BI52,0)</f>
        <v>0</v>
      </c>
      <c r="AF52" s="76">
        <f>IF(AQ52="2",BH52,0)</f>
        <v>0</v>
      </c>
      <c r="AG52" s="76">
        <f>IF(AQ52="2",BI52,0)</f>
        <v>0</v>
      </c>
      <c r="AH52" s="76">
        <f>IF(AQ52="0",BJ52,0)</f>
        <v>0</v>
      </c>
      <c r="AI52" s="72"/>
      <c r="AJ52" s="51">
        <f>IF(AN52=0,K52,0)</f>
        <v>0</v>
      </c>
      <c r="AK52" s="51">
        <f>IF(AN52=15,K52,0)</f>
        <v>0</v>
      </c>
      <c r="AL52" s="51">
        <f>IF(AN52=21,K52,0)</f>
        <v>0</v>
      </c>
      <c r="AN52" s="76">
        <v>21</v>
      </c>
      <c r="AO52" s="76">
        <f>H52*0</f>
        <v>0</v>
      </c>
      <c r="AP52" s="76">
        <f>H52*(1-0)</f>
        <v>0</v>
      </c>
      <c r="AQ52" s="71" t="s">
        <v>7</v>
      </c>
      <c r="AV52" s="76">
        <f>AW52+AX52</f>
        <v>0</v>
      </c>
      <c r="AW52" s="76">
        <f>G52*AO52</f>
        <v>0</v>
      </c>
      <c r="AX52" s="76">
        <f>G52*AP52</f>
        <v>0</v>
      </c>
      <c r="AY52" s="77" t="s">
        <v>408</v>
      </c>
      <c r="AZ52" s="77" t="s">
        <v>425</v>
      </c>
      <c r="BA52" s="72" t="s">
        <v>431</v>
      </c>
      <c r="BC52" s="76">
        <f>AW52+AX52</f>
        <v>0</v>
      </c>
      <c r="BD52" s="76">
        <f>H52/(100-BE52)*100</f>
        <v>0</v>
      </c>
      <c r="BE52" s="76">
        <v>0</v>
      </c>
      <c r="BF52" s="76">
        <f>52</f>
        <v>52</v>
      </c>
      <c r="BH52" s="51">
        <f>G52*AO52</f>
        <v>0</v>
      </c>
      <c r="BI52" s="51">
        <f>G52*AP52</f>
        <v>0</v>
      </c>
      <c r="BJ52" s="51">
        <f>G52*H52</f>
        <v>0</v>
      </c>
    </row>
    <row r="53" spans="3:7" ht="12.75">
      <c r="C53" s="32" t="s">
        <v>208</v>
      </c>
      <c r="D53" s="42"/>
      <c r="E53" s="42"/>
      <c r="G53" s="52">
        <v>7.7</v>
      </c>
    </row>
    <row r="54" spans="2:12" ht="38.25" customHeight="1">
      <c r="B54" s="24" t="s">
        <v>85</v>
      </c>
      <c r="C54" s="33" t="s">
        <v>204</v>
      </c>
      <c r="D54" s="43"/>
      <c r="E54" s="43"/>
      <c r="F54" s="43"/>
      <c r="G54" s="43"/>
      <c r="H54" s="43"/>
      <c r="I54" s="43"/>
      <c r="J54" s="43"/>
      <c r="K54" s="43"/>
      <c r="L54" s="43"/>
    </row>
    <row r="55" spans="1:62" ht="12.75">
      <c r="A55" s="10" t="s">
        <v>22</v>
      </c>
      <c r="B55" s="10" t="s">
        <v>100</v>
      </c>
      <c r="C55" s="10" t="s">
        <v>209</v>
      </c>
      <c r="D55" s="41"/>
      <c r="E55" s="41"/>
      <c r="F55" s="10" t="s">
        <v>373</v>
      </c>
      <c r="G55" s="51">
        <v>3.85</v>
      </c>
      <c r="H55" s="51">
        <v>0</v>
      </c>
      <c r="I55" s="51">
        <f>G55*AO55</f>
        <v>0</v>
      </c>
      <c r="J55" s="51">
        <f>G55*AP55</f>
        <v>0</v>
      </c>
      <c r="K55" s="51">
        <f>G55*H55</f>
        <v>0</v>
      </c>
      <c r="L55" s="71" t="s">
        <v>394</v>
      </c>
      <c r="Z55" s="76">
        <f>IF(AQ55="5",BJ55,0)</f>
        <v>0</v>
      </c>
      <c r="AB55" s="76">
        <f>IF(AQ55="1",BH55,0)</f>
        <v>0</v>
      </c>
      <c r="AC55" s="76">
        <f>IF(AQ55="1",BI55,0)</f>
        <v>0</v>
      </c>
      <c r="AD55" s="76">
        <f>IF(AQ55="7",BH55,0)</f>
        <v>0</v>
      </c>
      <c r="AE55" s="76">
        <f>IF(AQ55="7",BI55,0)</f>
        <v>0</v>
      </c>
      <c r="AF55" s="76">
        <f>IF(AQ55="2",BH55,0)</f>
        <v>0</v>
      </c>
      <c r="AG55" s="76">
        <f>IF(AQ55="2",BI55,0)</f>
        <v>0</v>
      </c>
      <c r="AH55" s="76">
        <f>IF(AQ55="0",BJ55,0)</f>
        <v>0</v>
      </c>
      <c r="AI55" s="72"/>
      <c r="AJ55" s="51">
        <f>IF(AN55=0,K55,0)</f>
        <v>0</v>
      </c>
      <c r="AK55" s="51">
        <f>IF(AN55=15,K55,0)</f>
        <v>0</v>
      </c>
      <c r="AL55" s="51">
        <f>IF(AN55=21,K55,0)</f>
        <v>0</v>
      </c>
      <c r="AN55" s="76">
        <v>21</v>
      </c>
      <c r="AO55" s="76">
        <f>H55*0</f>
        <v>0</v>
      </c>
      <c r="AP55" s="76">
        <f>H55*(1-0)</f>
        <v>0</v>
      </c>
      <c r="AQ55" s="71" t="s">
        <v>7</v>
      </c>
      <c r="AV55" s="76">
        <f>AW55+AX55</f>
        <v>0</v>
      </c>
      <c r="AW55" s="76">
        <f>G55*AO55</f>
        <v>0</v>
      </c>
      <c r="AX55" s="76">
        <f>G55*AP55</f>
        <v>0</v>
      </c>
      <c r="AY55" s="77" t="s">
        <v>408</v>
      </c>
      <c r="AZ55" s="77" t="s">
        <v>425</v>
      </c>
      <c r="BA55" s="72" t="s">
        <v>431</v>
      </c>
      <c r="BC55" s="76">
        <f>AW55+AX55</f>
        <v>0</v>
      </c>
      <c r="BD55" s="76">
        <f>H55/(100-BE55)*100</f>
        <v>0</v>
      </c>
      <c r="BE55" s="76">
        <v>0</v>
      </c>
      <c r="BF55" s="76">
        <f>55</f>
        <v>55</v>
      </c>
      <c r="BH55" s="51">
        <f>G55*AO55</f>
        <v>0</v>
      </c>
      <c r="BI55" s="51">
        <f>G55*AP55</f>
        <v>0</v>
      </c>
      <c r="BJ55" s="51">
        <f>G55*H55</f>
        <v>0</v>
      </c>
    </row>
    <row r="56" spans="3:7" ht="12.75">
      <c r="C56" s="32" t="s">
        <v>210</v>
      </c>
      <c r="D56" s="42"/>
      <c r="E56" s="42"/>
      <c r="G56" s="52">
        <v>3.85</v>
      </c>
    </row>
    <row r="57" spans="2:12" ht="12.75">
      <c r="B57" s="24" t="s">
        <v>85</v>
      </c>
      <c r="C57" s="33" t="s">
        <v>193</v>
      </c>
      <c r="D57" s="43"/>
      <c r="E57" s="43"/>
      <c r="F57" s="43"/>
      <c r="G57" s="43"/>
      <c r="H57" s="43"/>
      <c r="I57" s="43"/>
      <c r="J57" s="43"/>
      <c r="K57" s="43"/>
      <c r="L57" s="43"/>
    </row>
    <row r="58" spans="1:47" ht="12.75">
      <c r="A58" s="11"/>
      <c r="B58" s="25" t="s">
        <v>21</v>
      </c>
      <c r="C58" s="25" t="s">
        <v>211</v>
      </c>
      <c r="D58" s="44"/>
      <c r="E58" s="44"/>
      <c r="F58" s="11" t="s">
        <v>6</v>
      </c>
      <c r="G58" s="11" t="s">
        <v>6</v>
      </c>
      <c r="H58" s="11" t="s">
        <v>6</v>
      </c>
      <c r="I58" s="79">
        <f>SUM(I59:I68)</f>
        <v>0</v>
      </c>
      <c r="J58" s="79">
        <f>SUM(J59:J68)</f>
        <v>0</v>
      </c>
      <c r="K58" s="79">
        <f>SUM(K59:K68)</f>
        <v>0</v>
      </c>
      <c r="L58" s="72"/>
      <c r="AI58" s="72"/>
      <c r="AS58" s="79">
        <f>SUM(AJ59:AJ68)</f>
        <v>0</v>
      </c>
      <c r="AT58" s="79">
        <f>SUM(AK59:AK68)</f>
        <v>0</v>
      </c>
      <c r="AU58" s="79">
        <f>SUM(AL59:AL68)</f>
        <v>0</v>
      </c>
    </row>
    <row r="59" spans="1:62" ht="12.75">
      <c r="A59" s="10" t="s">
        <v>23</v>
      </c>
      <c r="B59" s="10" t="s">
        <v>101</v>
      </c>
      <c r="C59" s="10" t="s">
        <v>212</v>
      </c>
      <c r="D59" s="41"/>
      <c r="E59" s="41"/>
      <c r="F59" s="10" t="s">
        <v>371</v>
      </c>
      <c r="G59" s="51">
        <v>70.24</v>
      </c>
      <c r="H59" s="51">
        <v>0</v>
      </c>
      <c r="I59" s="51">
        <f>G59*AO59</f>
        <v>0</v>
      </c>
      <c r="J59" s="51">
        <f>G59*AP59</f>
        <v>0</v>
      </c>
      <c r="K59" s="51">
        <f>G59*H59</f>
        <v>0</v>
      </c>
      <c r="L59" s="71" t="s">
        <v>393</v>
      </c>
      <c r="Z59" s="76">
        <f>IF(AQ59="5",BJ59,0)</f>
        <v>0</v>
      </c>
      <c r="AB59" s="76">
        <f>IF(AQ59="1",BH59,0)</f>
        <v>0</v>
      </c>
      <c r="AC59" s="76">
        <f>IF(AQ59="1",BI59,0)</f>
        <v>0</v>
      </c>
      <c r="AD59" s="76">
        <f>IF(AQ59="7",BH59,0)</f>
        <v>0</v>
      </c>
      <c r="AE59" s="76">
        <f>IF(AQ59="7",BI59,0)</f>
        <v>0</v>
      </c>
      <c r="AF59" s="76">
        <f>IF(AQ59="2",BH59,0)</f>
        <v>0</v>
      </c>
      <c r="AG59" s="76">
        <f>IF(AQ59="2",BI59,0)</f>
        <v>0</v>
      </c>
      <c r="AH59" s="76">
        <f>IF(AQ59="0",BJ59,0)</f>
        <v>0</v>
      </c>
      <c r="AI59" s="72"/>
      <c r="AJ59" s="51">
        <f>IF(AN59=0,K59,0)</f>
        <v>0</v>
      </c>
      <c r="AK59" s="51">
        <f>IF(AN59=15,K59,0)</f>
        <v>0</v>
      </c>
      <c r="AL59" s="51">
        <f>IF(AN59=21,K59,0)</f>
        <v>0</v>
      </c>
      <c r="AN59" s="76">
        <v>21</v>
      </c>
      <c r="AO59" s="76">
        <f>H59*0.0964319248826291</f>
        <v>0</v>
      </c>
      <c r="AP59" s="76">
        <f>H59*(1-0.0964319248826291)</f>
        <v>0</v>
      </c>
      <c r="AQ59" s="71" t="s">
        <v>7</v>
      </c>
      <c r="AV59" s="76">
        <f>AW59+AX59</f>
        <v>0</v>
      </c>
      <c r="AW59" s="76">
        <f>G59*AO59</f>
        <v>0</v>
      </c>
      <c r="AX59" s="76">
        <f>G59*AP59</f>
        <v>0</v>
      </c>
      <c r="AY59" s="77" t="s">
        <v>409</v>
      </c>
      <c r="AZ59" s="77" t="s">
        <v>425</v>
      </c>
      <c r="BA59" s="72" t="s">
        <v>431</v>
      </c>
      <c r="BC59" s="76">
        <f>AW59+AX59</f>
        <v>0</v>
      </c>
      <c r="BD59" s="76">
        <f>H59/(100-BE59)*100</f>
        <v>0</v>
      </c>
      <c r="BE59" s="76">
        <v>0</v>
      </c>
      <c r="BF59" s="76">
        <f>59</f>
        <v>59</v>
      </c>
      <c r="BH59" s="51">
        <f>G59*AO59</f>
        <v>0</v>
      </c>
      <c r="BI59" s="51">
        <f>G59*AP59</f>
        <v>0</v>
      </c>
      <c r="BJ59" s="51">
        <f>G59*H59</f>
        <v>0</v>
      </c>
    </row>
    <row r="60" spans="3:7" ht="12.75">
      <c r="C60" s="32" t="s">
        <v>213</v>
      </c>
      <c r="D60" s="42"/>
      <c r="E60" s="42"/>
      <c r="G60" s="52">
        <v>57.76</v>
      </c>
    </row>
    <row r="61" spans="3:7" ht="12.75">
      <c r="C61" s="32" t="s">
        <v>214</v>
      </c>
      <c r="D61" s="42"/>
      <c r="E61" s="42"/>
      <c r="G61" s="52">
        <v>12.48</v>
      </c>
    </row>
    <row r="62" spans="2:12" ht="12.75">
      <c r="B62" s="24" t="s">
        <v>85</v>
      </c>
      <c r="C62" s="33" t="s">
        <v>215</v>
      </c>
      <c r="D62" s="43"/>
      <c r="E62" s="43"/>
      <c r="F62" s="43"/>
      <c r="G62" s="43"/>
      <c r="H62" s="43"/>
      <c r="I62" s="43"/>
      <c r="J62" s="43"/>
      <c r="K62" s="43"/>
      <c r="L62" s="43"/>
    </row>
    <row r="63" spans="1:62" ht="12.75">
      <c r="A63" s="10" t="s">
        <v>24</v>
      </c>
      <c r="B63" s="10" t="s">
        <v>102</v>
      </c>
      <c r="C63" s="10" t="s">
        <v>216</v>
      </c>
      <c r="D63" s="41"/>
      <c r="E63" s="41"/>
      <c r="F63" s="10" t="s">
        <v>371</v>
      </c>
      <c r="G63" s="51">
        <v>70.24</v>
      </c>
      <c r="H63" s="51">
        <v>0</v>
      </c>
      <c r="I63" s="51">
        <f>G63*AO63</f>
        <v>0</v>
      </c>
      <c r="J63" s="51">
        <f>G63*AP63</f>
        <v>0</v>
      </c>
      <c r="K63" s="51">
        <f>G63*H63</f>
        <v>0</v>
      </c>
      <c r="L63" s="71" t="s">
        <v>393</v>
      </c>
      <c r="Z63" s="76">
        <f>IF(AQ63="5",BJ63,0)</f>
        <v>0</v>
      </c>
      <c r="AB63" s="76">
        <f>IF(AQ63="1",BH63,0)</f>
        <v>0</v>
      </c>
      <c r="AC63" s="76">
        <f>IF(AQ63="1",BI63,0)</f>
        <v>0</v>
      </c>
      <c r="AD63" s="76">
        <f>IF(AQ63="7",BH63,0)</f>
        <v>0</v>
      </c>
      <c r="AE63" s="76">
        <f>IF(AQ63="7",BI63,0)</f>
        <v>0</v>
      </c>
      <c r="AF63" s="76">
        <f>IF(AQ63="2",BH63,0)</f>
        <v>0</v>
      </c>
      <c r="AG63" s="76">
        <f>IF(AQ63="2",BI63,0)</f>
        <v>0</v>
      </c>
      <c r="AH63" s="76">
        <f>IF(AQ63="0",BJ63,0)</f>
        <v>0</v>
      </c>
      <c r="AI63" s="72"/>
      <c r="AJ63" s="51">
        <f>IF(AN63=0,K63,0)</f>
        <v>0</v>
      </c>
      <c r="AK63" s="51">
        <f>IF(AN63=15,K63,0)</f>
        <v>0</v>
      </c>
      <c r="AL63" s="51">
        <f>IF(AN63=21,K63,0)</f>
        <v>0</v>
      </c>
      <c r="AN63" s="76">
        <v>21</v>
      </c>
      <c r="AO63" s="76">
        <f>H63*0</f>
        <v>0</v>
      </c>
      <c r="AP63" s="76">
        <f>H63*(1-0)</f>
        <v>0</v>
      </c>
      <c r="AQ63" s="71" t="s">
        <v>7</v>
      </c>
      <c r="AV63" s="76">
        <f>AW63+AX63</f>
        <v>0</v>
      </c>
      <c r="AW63" s="76">
        <f>G63*AO63</f>
        <v>0</v>
      </c>
      <c r="AX63" s="76">
        <f>G63*AP63</f>
        <v>0</v>
      </c>
      <c r="AY63" s="77" t="s">
        <v>409</v>
      </c>
      <c r="AZ63" s="77" t="s">
        <v>425</v>
      </c>
      <c r="BA63" s="72" t="s">
        <v>431</v>
      </c>
      <c r="BC63" s="76">
        <f>AW63+AX63</f>
        <v>0</v>
      </c>
      <c r="BD63" s="76">
        <f>H63/(100-BE63)*100</f>
        <v>0</v>
      </c>
      <c r="BE63" s="76">
        <v>0</v>
      </c>
      <c r="BF63" s="76">
        <f>63</f>
        <v>63</v>
      </c>
      <c r="BH63" s="51">
        <f>G63*AO63</f>
        <v>0</v>
      </c>
      <c r="BI63" s="51">
        <f>G63*AP63</f>
        <v>0</v>
      </c>
      <c r="BJ63" s="51">
        <f>G63*H63</f>
        <v>0</v>
      </c>
    </row>
    <row r="64" spans="1:62" ht="12.75">
      <c r="A64" s="10" t="s">
        <v>25</v>
      </c>
      <c r="B64" s="10" t="s">
        <v>103</v>
      </c>
      <c r="C64" s="10" t="s">
        <v>217</v>
      </c>
      <c r="D64" s="41"/>
      <c r="E64" s="41"/>
      <c r="F64" s="10" t="s">
        <v>371</v>
      </c>
      <c r="G64" s="51">
        <v>57</v>
      </c>
      <c r="H64" s="51">
        <v>0</v>
      </c>
      <c r="I64" s="51">
        <f>G64*AO64</f>
        <v>0</v>
      </c>
      <c r="J64" s="51">
        <f>G64*AP64</f>
        <v>0</v>
      </c>
      <c r="K64" s="51">
        <f>G64*H64</f>
        <v>0</v>
      </c>
      <c r="L64" s="71" t="s">
        <v>393</v>
      </c>
      <c r="Z64" s="76">
        <f>IF(AQ64="5",BJ64,0)</f>
        <v>0</v>
      </c>
      <c r="AB64" s="76">
        <f>IF(AQ64="1",BH64,0)</f>
        <v>0</v>
      </c>
      <c r="AC64" s="76">
        <f>IF(AQ64="1",BI64,0)</f>
        <v>0</v>
      </c>
      <c r="AD64" s="76">
        <f>IF(AQ64="7",BH64,0)</f>
        <v>0</v>
      </c>
      <c r="AE64" s="76">
        <f>IF(AQ64="7",BI64,0)</f>
        <v>0</v>
      </c>
      <c r="AF64" s="76">
        <f>IF(AQ64="2",BH64,0)</f>
        <v>0</v>
      </c>
      <c r="AG64" s="76">
        <f>IF(AQ64="2",BI64,0)</f>
        <v>0</v>
      </c>
      <c r="AH64" s="76">
        <f>IF(AQ64="0",BJ64,0)</f>
        <v>0</v>
      </c>
      <c r="AI64" s="72"/>
      <c r="AJ64" s="51">
        <f>IF(AN64=0,K64,0)</f>
        <v>0</v>
      </c>
      <c r="AK64" s="51">
        <f>IF(AN64=15,K64,0)</f>
        <v>0</v>
      </c>
      <c r="AL64" s="51">
        <f>IF(AN64=21,K64,0)</f>
        <v>0</v>
      </c>
      <c r="AN64" s="76">
        <v>21</v>
      </c>
      <c r="AO64" s="76">
        <f>H64*0.0661577608142494</f>
        <v>0</v>
      </c>
      <c r="AP64" s="76">
        <f>H64*(1-0.0661577608142494)</f>
        <v>0</v>
      </c>
      <c r="AQ64" s="71" t="s">
        <v>7</v>
      </c>
      <c r="AV64" s="76">
        <f>AW64+AX64</f>
        <v>0</v>
      </c>
      <c r="AW64" s="76">
        <f>G64*AO64</f>
        <v>0</v>
      </c>
      <c r="AX64" s="76">
        <f>G64*AP64</f>
        <v>0</v>
      </c>
      <c r="AY64" s="77" t="s">
        <v>409</v>
      </c>
      <c r="AZ64" s="77" t="s">
        <v>425</v>
      </c>
      <c r="BA64" s="72" t="s">
        <v>431</v>
      </c>
      <c r="BC64" s="76">
        <f>AW64+AX64</f>
        <v>0</v>
      </c>
      <c r="BD64" s="76">
        <f>H64/(100-BE64)*100</f>
        <v>0</v>
      </c>
      <c r="BE64" s="76">
        <v>0</v>
      </c>
      <c r="BF64" s="76">
        <f>64</f>
        <v>64</v>
      </c>
      <c r="BH64" s="51">
        <f>G64*AO64</f>
        <v>0</v>
      </c>
      <c r="BI64" s="51">
        <f>G64*AP64</f>
        <v>0</v>
      </c>
      <c r="BJ64" s="51">
        <f>G64*H64</f>
        <v>0</v>
      </c>
    </row>
    <row r="65" spans="3:7" ht="12.75">
      <c r="C65" s="32" t="s">
        <v>218</v>
      </c>
      <c r="D65" s="42"/>
      <c r="E65" s="42"/>
      <c r="G65" s="52">
        <v>33.6</v>
      </c>
    </row>
    <row r="66" spans="3:7" ht="12.75">
      <c r="C66" s="32" t="s">
        <v>219</v>
      </c>
      <c r="D66" s="42"/>
      <c r="E66" s="42"/>
      <c r="G66" s="52">
        <v>23.4</v>
      </c>
    </row>
    <row r="67" spans="2:12" ht="12.75">
      <c r="B67" s="24" t="s">
        <v>85</v>
      </c>
      <c r="C67" s="33" t="s">
        <v>215</v>
      </c>
      <c r="D67" s="43"/>
      <c r="E67" s="43"/>
      <c r="F67" s="43"/>
      <c r="G67" s="43"/>
      <c r="H67" s="43"/>
      <c r="I67" s="43"/>
      <c r="J67" s="43"/>
      <c r="K67" s="43"/>
      <c r="L67" s="43"/>
    </row>
    <row r="68" spans="1:62" ht="12.75">
      <c r="A68" s="10" t="s">
        <v>26</v>
      </c>
      <c r="B68" s="10" t="s">
        <v>104</v>
      </c>
      <c r="C68" s="10" t="s">
        <v>220</v>
      </c>
      <c r="D68" s="41"/>
      <c r="E68" s="41"/>
      <c r="F68" s="10" t="s">
        <v>371</v>
      </c>
      <c r="G68" s="51">
        <v>57</v>
      </c>
      <c r="H68" s="51">
        <v>0</v>
      </c>
      <c r="I68" s="51">
        <f>G68*AO68</f>
        <v>0</v>
      </c>
      <c r="J68" s="51">
        <f>G68*AP68</f>
        <v>0</v>
      </c>
      <c r="K68" s="51">
        <f>G68*H68</f>
        <v>0</v>
      </c>
      <c r="L68" s="71" t="s">
        <v>393</v>
      </c>
      <c r="Z68" s="76">
        <f>IF(AQ68="5",BJ68,0)</f>
        <v>0</v>
      </c>
      <c r="AB68" s="76">
        <f>IF(AQ68="1",BH68,0)</f>
        <v>0</v>
      </c>
      <c r="AC68" s="76">
        <f>IF(AQ68="1",BI68,0)</f>
        <v>0</v>
      </c>
      <c r="AD68" s="76">
        <f>IF(AQ68="7",BH68,0)</f>
        <v>0</v>
      </c>
      <c r="AE68" s="76">
        <f>IF(AQ68="7",BI68,0)</f>
        <v>0</v>
      </c>
      <c r="AF68" s="76">
        <f>IF(AQ68="2",BH68,0)</f>
        <v>0</v>
      </c>
      <c r="AG68" s="76">
        <f>IF(AQ68="2",BI68,0)</f>
        <v>0</v>
      </c>
      <c r="AH68" s="76">
        <f>IF(AQ68="0",BJ68,0)</f>
        <v>0</v>
      </c>
      <c r="AI68" s="72"/>
      <c r="AJ68" s="51">
        <f>IF(AN68=0,K68,0)</f>
        <v>0</v>
      </c>
      <c r="AK68" s="51">
        <f>IF(AN68=15,K68,0)</f>
        <v>0</v>
      </c>
      <c r="AL68" s="51">
        <f>IF(AN68=21,K68,0)</f>
        <v>0</v>
      </c>
      <c r="AN68" s="76">
        <v>21</v>
      </c>
      <c r="AO68" s="76">
        <f>H68*0</f>
        <v>0</v>
      </c>
      <c r="AP68" s="76">
        <f>H68*(1-0)</f>
        <v>0</v>
      </c>
      <c r="AQ68" s="71" t="s">
        <v>7</v>
      </c>
      <c r="AV68" s="76">
        <f>AW68+AX68</f>
        <v>0</v>
      </c>
      <c r="AW68" s="76">
        <f>G68*AO68</f>
        <v>0</v>
      </c>
      <c r="AX68" s="76">
        <f>G68*AP68</f>
        <v>0</v>
      </c>
      <c r="AY68" s="77" t="s">
        <v>409</v>
      </c>
      <c r="AZ68" s="77" t="s">
        <v>425</v>
      </c>
      <c r="BA68" s="72" t="s">
        <v>431</v>
      </c>
      <c r="BC68" s="76">
        <f>AW68+AX68</f>
        <v>0</v>
      </c>
      <c r="BD68" s="76">
        <f>H68/(100-BE68)*100</f>
        <v>0</v>
      </c>
      <c r="BE68" s="76">
        <v>0</v>
      </c>
      <c r="BF68" s="76">
        <f>68</f>
        <v>68</v>
      </c>
      <c r="BH68" s="51">
        <f>G68*AO68</f>
        <v>0</v>
      </c>
      <c r="BI68" s="51">
        <f>G68*AP68</f>
        <v>0</v>
      </c>
      <c r="BJ68" s="51">
        <f>G68*H68</f>
        <v>0</v>
      </c>
    </row>
    <row r="69" spans="1:47" ht="12.75">
      <c r="A69" s="11"/>
      <c r="B69" s="25" t="s">
        <v>22</v>
      </c>
      <c r="C69" s="25" t="s">
        <v>221</v>
      </c>
      <c r="D69" s="44"/>
      <c r="E69" s="44"/>
      <c r="F69" s="11" t="s">
        <v>6</v>
      </c>
      <c r="G69" s="11" t="s">
        <v>6</v>
      </c>
      <c r="H69" s="11" t="s">
        <v>6</v>
      </c>
      <c r="I69" s="79">
        <f>SUM(I70:I77)</f>
        <v>0</v>
      </c>
      <c r="J69" s="79">
        <f>SUM(J70:J77)</f>
        <v>0</v>
      </c>
      <c r="K69" s="79">
        <f>SUM(K70:K77)</f>
        <v>0</v>
      </c>
      <c r="L69" s="72"/>
      <c r="AI69" s="72"/>
      <c r="AS69" s="79">
        <f>SUM(AJ70:AJ77)</f>
        <v>0</v>
      </c>
      <c r="AT69" s="79">
        <f>SUM(AK70:AK77)</f>
        <v>0</v>
      </c>
      <c r="AU69" s="79">
        <f>SUM(AL70:AL77)</f>
        <v>0</v>
      </c>
    </row>
    <row r="70" spans="1:62" ht="12.75">
      <c r="A70" s="10" t="s">
        <v>27</v>
      </c>
      <c r="B70" s="10" t="s">
        <v>105</v>
      </c>
      <c r="C70" s="10" t="s">
        <v>222</v>
      </c>
      <c r="D70" s="41"/>
      <c r="E70" s="41"/>
      <c r="F70" s="10" t="s">
        <v>373</v>
      </c>
      <c r="G70" s="51">
        <v>13.1</v>
      </c>
      <c r="H70" s="51">
        <v>0</v>
      </c>
      <c r="I70" s="51">
        <f>G70*AO70</f>
        <v>0</v>
      </c>
      <c r="J70" s="51">
        <f>G70*AP70</f>
        <v>0</v>
      </c>
      <c r="K70" s="51">
        <f>G70*H70</f>
        <v>0</v>
      </c>
      <c r="L70" s="71" t="s">
        <v>393</v>
      </c>
      <c r="Z70" s="76">
        <f>IF(AQ70="5",BJ70,0)</f>
        <v>0</v>
      </c>
      <c r="AB70" s="76">
        <f>IF(AQ70="1",BH70,0)</f>
        <v>0</v>
      </c>
      <c r="AC70" s="76">
        <f>IF(AQ70="1",BI70,0)</f>
        <v>0</v>
      </c>
      <c r="AD70" s="76">
        <f>IF(AQ70="7",BH70,0)</f>
        <v>0</v>
      </c>
      <c r="AE70" s="76">
        <f>IF(AQ70="7",BI70,0)</f>
        <v>0</v>
      </c>
      <c r="AF70" s="76">
        <f>IF(AQ70="2",BH70,0)</f>
        <v>0</v>
      </c>
      <c r="AG70" s="76">
        <f>IF(AQ70="2",BI70,0)</f>
        <v>0</v>
      </c>
      <c r="AH70" s="76">
        <f>IF(AQ70="0",BJ70,0)</f>
        <v>0</v>
      </c>
      <c r="AI70" s="72"/>
      <c r="AJ70" s="51">
        <f>IF(AN70=0,K70,0)</f>
        <v>0</v>
      </c>
      <c r="AK70" s="51">
        <f>IF(AN70=15,K70,0)</f>
        <v>0</v>
      </c>
      <c r="AL70" s="51">
        <f>IF(AN70=21,K70,0)</f>
        <v>0</v>
      </c>
      <c r="AN70" s="76">
        <v>21</v>
      </c>
      <c r="AO70" s="76">
        <f>H70*0</f>
        <v>0</v>
      </c>
      <c r="AP70" s="76">
        <f>H70*(1-0)</f>
        <v>0</v>
      </c>
      <c r="AQ70" s="71" t="s">
        <v>7</v>
      </c>
      <c r="AV70" s="76">
        <f>AW70+AX70</f>
        <v>0</v>
      </c>
      <c r="AW70" s="76">
        <f>G70*AO70</f>
        <v>0</v>
      </c>
      <c r="AX70" s="76">
        <f>G70*AP70</f>
        <v>0</v>
      </c>
      <c r="AY70" s="77" t="s">
        <v>410</v>
      </c>
      <c r="AZ70" s="77" t="s">
        <v>425</v>
      </c>
      <c r="BA70" s="72" t="s">
        <v>431</v>
      </c>
      <c r="BC70" s="76">
        <f>AW70+AX70</f>
        <v>0</v>
      </c>
      <c r="BD70" s="76">
        <f>H70/(100-BE70)*100</f>
        <v>0</v>
      </c>
      <c r="BE70" s="76">
        <v>0</v>
      </c>
      <c r="BF70" s="76">
        <f>70</f>
        <v>70</v>
      </c>
      <c r="BH70" s="51">
        <f>G70*AO70</f>
        <v>0</v>
      </c>
      <c r="BI70" s="51">
        <f>G70*AP70</f>
        <v>0</v>
      </c>
      <c r="BJ70" s="51">
        <f>G70*H70</f>
        <v>0</v>
      </c>
    </row>
    <row r="71" spans="3:7" ht="12.75">
      <c r="C71" s="32" t="s">
        <v>223</v>
      </c>
      <c r="D71" s="42"/>
      <c r="E71" s="42"/>
      <c r="G71" s="52">
        <v>13.1</v>
      </c>
    </row>
    <row r="72" spans="1:62" ht="12.75">
      <c r="A72" s="10" t="s">
        <v>28</v>
      </c>
      <c r="B72" s="10" t="s">
        <v>106</v>
      </c>
      <c r="C72" s="10" t="s">
        <v>224</v>
      </c>
      <c r="D72" s="41"/>
      <c r="E72" s="41"/>
      <c r="F72" s="10" t="s">
        <v>373</v>
      </c>
      <c r="G72" s="51">
        <v>78.5</v>
      </c>
      <c r="H72" s="51">
        <v>0</v>
      </c>
      <c r="I72" s="51">
        <f>G72*AO72</f>
        <v>0</v>
      </c>
      <c r="J72" s="51">
        <f>G72*AP72</f>
        <v>0</v>
      </c>
      <c r="K72" s="51">
        <f>G72*H72</f>
        <v>0</v>
      </c>
      <c r="L72" s="71" t="s">
        <v>393</v>
      </c>
      <c r="Z72" s="76">
        <f>IF(AQ72="5",BJ72,0)</f>
        <v>0</v>
      </c>
      <c r="AB72" s="76">
        <f>IF(AQ72="1",BH72,0)</f>
        <v>0</v>
      </c>
      <c r="AC72" s="76">
        <f>IF(AQ72="1",BI72,0)</f>
        <v>0</v>
      </c>
      <c r="AD72" s="76">
        <f>IF(AQ72="7",BH72,0)</f>
        <v>0</v>
      </c>
      <c r="AE72" s="76">
        <f>IF(AQ72="7",BI72,0)</f>
        <v>0</v>
      </c>
      <c r="AF72" s="76">
        <f>IF(AQ72="2",BH72,0)</f>
        <v>0</v>
      </c>
      <c r="AG72" s="76">
        <f>IF(AQ72="2",BI72,0)</f>
        <v>0</v>
      </c>
      <c r="AH72" s="76">
        <f>IF(AQ72="0",BJ72,0)</f>
        <v>0</v>
      </c>
      <c r="AI72" s="72"/>
      <c r="AJ72" s="51">
        <f>IF(AN72=0,K72,0)</f>
        <v>0</v>
      </c>
      <c r="AK72" s="51">
        <f>IF(AN72=15,K72,0)</f>
        <v>0</v>
      </c>
      <c r="AL72" s="51">
        <f>IF(AN72=21,K72,0)</f>
        <v>0</v>
      </c>
      <c r="AN72" s="76">
        <v>21</v>
      </c>
      <c r="AO72" s="76">
        <f>H72*0</f>
        <v>0</v>
      </c>
      <c r="AP72" s="76">
        <f>H72*(1-0)</f>
        <v>0</v>
      </c>
      <c r="AQ72" s="71" t="s">
        <v>7</v>
      </c>
      <c r="AV72" s="76">
        <f>AW72+AX72</f>
        <v>0</v>
      </c>
      <c r="AW72" s="76">
        <f>G72*AO72</f>
        <v>0</v>
      </c>
      <c r="AX72" s="76">
        <f>G72*AP72</f>
        <v>0</v>
      </c>
      <c r="AY72" s="77" t="s">
        <v>410</v>
      </c>
      <c r="AZ72" s="77" t="s">
        <v>425</v>
      </c>
      <c r="BA72" s="72" t="s">
        <v>431</v>
      </c>
      <c r="BC72" s="76">
        <f>AW72+AX72</f>
        <v>0</v>
      </c>
      <c r="BD72" s="76">
        <f>H72/(100-BE72)*100</f>
        <v>0</v>
      </c>
      <c r="BE72" s="76">
        <v>0</v>
      </c>
      <c r="BF72" s="76">
        <f>72</f>
        <v>72</v>
      </c>
      <c r="BH72" s="51">
        <f>G72*AO72</f>
        <v>0</v>
      </c>
      <c r="BI72" s="51">
        <f>G72*AP72</f>
        <v>0</v>
      </c>
      <c r="BJ72" s="51">
        <f>G72*H72</f>
        <v>0</v>
      </c>
    </row>
    <row r="73" spans="3:7" ht="12.75">
      <c r="C73" s="32" t="s">
        <v>225</v>
      </c>
      <c r="D73" s="42"/>
      <c r="E73" s="42"/>
      <c r="G73" s="52">
        <v>88</v>
      </c>
    </row>
    <row r="74" spans="3:7" ht="12.75">
      <c r="C74" s="32" t="s">
        <v>226</v>
      </c>
      <c r="D74" s="42"/>
      <c r="E74" s="42"/>
      <c r="G74" s="52">
        <v>71.2</v>
      </c>
    </row>
    <row r="75" spans="3:7" ht="12.75">
      <c r="C75" s="32" t="s">
        <v>227</v>
      </c>
      <c r="D75" s="42"/>
      <c r="E75" s="42"/>
      <c r="G75" s="52">
        <v>-27.2</v>
      </c>
    </row>
    <row r="76" spans="3:7" ht="12.75">
      <c r="C76" s="32" t="s">
        <v>228</v>
      </c>
      <c r="D76" s="42"/>
      <c r="E76" s="42"/>
      <c r="G76" s="52">
        <v>-53.5</v>
      </c>
    </row>
    <row r="77" spans="1:62" ht="12.75">
      <c r="A77" s="10" t="s">
        <v>29</v>
      </c>
      <c r="B77" s="10" t="s">
        <v>107</v>
      </c>
      <c r="C77" s="10" t="s">
        <v>229</v>
      </c>
      <c r="D77" s="41"/>
      <c r="E77" s="41"/>
      <c r="F77" s="10" t="s">
        <v>373</v>
      </c>
      <c r="G77" s="51">
        <v>13.1</v>
      </c>
      <c r="H77" s="51">
        <v>0</v>
      </c>
      <c r="I77" s="51">
        <f>G77*AO77</f>
        <v>0</v>
      </c>
      <c r="J77" s="51">
        <f>G77*AP77</f>
        <v>0</v>
      </c>
      <c r="K77" s="51">
        <f>G77*H77</f>
        <v>0</v>
      </c>
      <c r="L77" s="71" t="s">
        <v>393</v>
      </c>
      <c r="Z77" s="76">
        <f>IF(AQ77="5",BJ77,0)</f>
        <v>0</v>
      </c>
      <c r="AB77" s="76">
        <f>IF(AQ77="1",BH77,0)</f>
        <v>0</v>
      </c>
      <c r="AC77" s="76">
        <f>IF(AQ77="1",BI77,0)</f>
        <v>0</v>
      </c>
      <c r="AD77" s="76">
        <f>IF(AQ77="7",BH77,0)</f>
        <v>0</v>
      </c>
      <c r="AE77" s="76">
        <f>IF(AQ77="7",BI77,0)</f>
        <v>0</v>
      </c>
      <c r="AF77" s="76">
        <f>IF(AQ77="2",BH77,0)</f>
        <v>0</v>
      </c>
      <c r="AG77" s="76">
        <f>IF(AQ77="2",BI77,0)</f>
        <v>0</v>
      </c>
      <c r="AH77" s="76">
        <f>IF(AQ77="0",BJ77,0)</f>
        <v>0</v>
      </c>
      <c r="AI77" s="72"/>
      <c r="AJ77" s="51">
        <f>IF(AN77=0,K77,0)</f>
        <v>0</v>
      </c>
      <c r="AK77" s="51">
        <f>IF(AN77=15,K77,0)</f>
        <v>0</v>
      </c>
      <c r="AL77" s="51">
        <f>IF(AN77=21,K77,0)</f>
        <v>0</v>
      </c>
      <c r="AN77" s="76">
        <v>21</v>
      </c>
      <c r="AO77" s="76">
        <f>H77*0</f>
        <v>0</v>
      </c>
      <c r="AP77" s="76">
        <f>H77*(1-0)</f>
        <v>0</v>
      </c>
      <c r="AQ77" s="71" t="s">
        <v>7</v>
      </c>
      <c r="AV77" s="76">
        <f>AW77+AX77</f>
        <v>0</v>
      </c>
      <c r="AW77" s="76">
        <f>G77*AO77</f>
        <v>0</v>
      </c>
      <c r="AX77" s="76">
        <f>G77*AP77</f>
        <v>0</v>
      </c>
      <c r="AY77" s="77" t="s">
        <v>410</v>
      </c>
      <c r="AZ77" s="77" t="s">
        <v>425</v>
      </c>
      <c r="BA77" s="72" t="s">
        <v>431</v>
      </c>
      <c r="BC77" s="76">
        <f>AW77+AX77</f>
        <v>0</v>
      </c>
      <c r="BD77" s="76">
        <f>H77/(100-BE77)*100</f>
        <v>0</v>
      </c>
      <c r="BE77" s="76">
        <v>0</v>
      </c>
      <c r="BF77" s="76">
        <f>77</f>
        <v>77</v>
      </c>
      <c r="BH77" s="51">
        <f>G77*AO77</f>
        <v>0</v>
      </c>
      <c r="BI77" s="51">
        <f>G77*AP77</f>
        <v>0</v>
      </c>
      <c r="BJ77" s="51">
        <f>G77*H77</f>
        <v>0</v>
      </c>
    </row>
    <row r="78" spans="3:7" ht="12.75">
      <c r="C78" s="32" t="s">
        <v>223</v>
      </c>
      <c r="D78" s="42"/>
      <c r="E78" s="42"/>
      <c r="G78" s="52">
        <v>13.1</v>
      </c>
    </row>
    <row r="79" spans="1:47" ht="12.75">
      <c r="A79" s="11"/>
      <c r="B79" s="25" t="s">
        <v>23</v>
      </c>
      <c r="C79" s="25" t="s">
        <v>230</v>
      </c>
      <c r="D79" s="44"/>
      <c r="E79" s="44"/>
      <c r="F79" s="11" t="s">
        <v>6</v>
      </c>
      <c r="G79" s="11" t="s">
        <v>6</v>
      </c>
      <c r="H79" s="11" t="s">
        <v>6</v>
      </c>
      <c r="I79" s="79">
        <f>SUM(I80:I84)</f>
        <v>0</v>
      </c>
      <c r="J79" s="79">
        <f>SUM(J80:J84)</f>
        <v>0</v>
      </c>
      <c r="K79" s="79">
        <f>SUM(K80:K84)</f>
        <v>0</v>
      </c>
      <c r="L79" s="72"/>
      <c r="AI79" s="72"/>
      <c r="AS79" s="79">
        <f>SUM(AJ80:AJ84)</f>
        <v>0</v>
      </c>
      <c r="AT79" s="79">
        <f>SUM(AK80:AK84)</f>
        <v>0</v>
      </c>
      <c r="AU79" s="79">
        <f>SUM(AL80:AL84)</f>
        <v>0</v>
      </c>
    </row>
    <row r="80" spans="1:62" ht="12.75">
      <c r="A80" s="10" t="s">
        <v>30</v>
      </c>
      <c r="B80" s="10" t="s">
        <v>108</v>
      </c>
      <c r="C80" s="10" t="s">
        <v>231</v>
      </c>
      <c r="D80" s="41"/>
      <c r="E80" s="41"/>
      <c r="F80" s="10" t="s">
        <v>373</v>
      </c>
      <c r="G80" s="51">
        <v>53.4704</v>
      </c>
      <c r="H80" s="51">
        <v>0</v>
      </c>
      <c r="I80" s="51">
        <f>G80*AO80</f>
        <v>0</v>
      </c>
      <c r="J80" s="51">
        <f>G80*AP80</f>
        <v>0</v>
      </c>
      <c r="K80" s="51">
        <f>G80*H80</f>
        <v>0</v>
      </c>
      <c r="L80" s="71" t="s">
        <v>393</v>
      </c>
      <c r="Z80" s="76">
        <f>IF(AQ80="5",BJ80,0)</f>
        <v>0</v>
      </c>
      <c r="AB80" s="76">
        <f>IF(AQ80="1",BH80,0)</f>
        <v>0</v>
      </c>
      <c r="AC80" s="76">
        <f>IF(AQ80="1",BI80,0)</f>
        <v>0</v>
      </c>
      <c r="AD80" s="76">
        <f>IF(AQ80="7",BH80,0)</f>
        <v>0</v>
      </c>
      <c r="AE80" s="76">
        <f>IF(AQ80="7",BI80,0)</f>
        <v>0</v>
      </c>
      <c r="AF80" s="76">
        <f>IF(AQ80="2",BH80,0)</f>
        <v>0</v>
      </c>
      <c r="AG80" s="76">
        <f>IF(AQ80="2",BI80,0)</f>
        <v>0</v>
      </c>
      <c r="AH80" s="76">
        <f>IF(AQ80="0",BJ80,0)</f>
        <v>0</v>
      </c>
      <c r="AI80" s="72"/>
      <c r="AJ80" s="51">
        <f>IF(AN80=0,K80,0)</f>
        <v>0</v>
      </c>
      <c r="AK80" s="51">
        <f>IF(AN80=15,K80,0)</f>
        <v>0</v>
      </c>
      <c r="AL80" s="51">
        <f>IF(AN80=21,K80,0)</f>
        <v>0</v>
      </c>
      <c r="AN80" s="76">
        <v>21</v>
      </c>
      <c r="AO80" s="76">
        <f>H80*0</f>
        <v>0</v>
      </c>
      <c r="AP80" s="76">
        <f>H80*(1-0)</f>
        <v>0</v>
      </c>
      <c r="AQ80" s="71" t="s">
        <v>7</v>
      </c>
      <c r="AV80" s="76">
        <f>AW80+AX80</f>
        <v>0</v>
      </c>
      <c r="AW80" s="76">
        <f>G80*AO80</f>
        <v>0</v>
      </c>
      <c r="AX80" s="76">
        <f>G80*AP80</f>
        <v>0</v>
      </c>
      <c r="AY80" s="77" t="s">
        <v>411</v>
      </c>
      <c r="AZ80" s="77" t="s">
        <v>425</v>
      </c>
      <c r="BA80" s="72" t="s">
        <v>431</v>
      </c>
      <c r="BC80" s="76">
        <f>AW80+AX80</f>
        <v>0</v>
      </c>
      <c r="BD80" s="76">
        <f>H80/(100-BE80)*100</f>
        <v>0</v>
      </c>
      <c r="BE80" s="76">
        <v>0</v>
      </c>
      <c r="BF80" s="76">
        <f>80</f>
        <v>80</v>
      </c>
      <c r="BH80" s="51">
        <f>G80*AO80</f>
        <v>0</v>
      </c>
      <c r="BI80" s="51">
        <f>G80*AP80</f>
        <v>0</v>
      </c>
      <c r="BJ80" s="51">
        <f>G80*H80</f>
        <v>0</v>
      </c>
    </row>
    <row r="81" spans="3:7" ht="12.75">
      <c r="C81" s="32" t="s">
        <v>232</v>
      </c>
      <c r="D81" s="42"/>
      <c r="E81" s="42"/>
      <c r="G81" s="52">
        <v>35.476</v>
      </c>
    </row>
    <row r="82" spans="3:7" ht="12.75">
      <c r="C82" s="32" t="s">
        <v>233</v>
      </c>
      <c r="D82" s="42"/>
      <c r="E82" s="42"/>
      <c r="G82" s="52">
        <v>17.9944</v>
      </c>
    </row>
    <row r="83" spans="2:12" ht="12.75">
      <c r="B83" s="24" t="s">
        <v>85</v>
      </c>
      <c r="C83" s="33" t="s">
        <v>234</v>
      </c>
      <c r="D83" s="43"/>
      <c r="E83" s="43"/>
      <c r="F83" s="43"/>
      <c r="G83" s="43"/>
      <c r="H83" s="43"/>
      <c r="I83" s="43"/>
      <c r="J83" s="43"/>
      <c r="K83" s="43"/>
      <c r="L83" s="43"/>
    </row>
    <row r="84" spans="1:62" ht="12.75">
      <c r="A84" s="10" t="s">
        <v>31</v>
      </c>
      <c r="B84" s="10" t="s">
        <v>109</v>
      </c>
      <c r="C84" s="10" t="s">
        <v>235</v>
      </c>
      <c r="D84" s="41"/>
      <c r="E84" s="41"/>
      <c r="F84" s="10" t="s">
        <v>373</v>
      </c>
      <c r="G84" s="51">
        <v>27.2</v>
      </c>
      <c r="H84" s="51">
        <v>0</v>
      </c>
      <c r="I84" s="51">
        <f>G84*AO84</f>
        <v>0</v>
      </c>
      <c r="J84" s="51">
        <f>G84*AP84</f>
        <v>0</v>
      </c>
      <c r="K84" s="51">
        <f>G84*H84</f>
        <v>0</v>
      </c>
      <c r="L84" s="71" t="s">
        <v>393</v>
      </c>
      <c r="Z84" s="76">
        <f>IF(AQ84="5",BJ84,0)</f>
        <v>0</v>
      </c>
      <c r="AB84" s="76">
        <f>IF(AQ84="1",BH84,0)</f>
        <v>0</v>
      </c>
      <c r="AC84" s="76">
        <f>IF(AQ84="1",BI84,0)</f>
        <v>0</v>
      </c>
      <c r="AD84" s="76">
        <f>IF(AQ84="7",BH84,0)</f>
        <v>0</v>
      </c>
      <c r="AE84" s="76">
        <f>IF(AQ84="7",BI84,0)</f>
        <v>0</v>
      </c>
      <c r="AF84" s="76">
        <f>IF(AQ84="2",BH84,0)</f>
        <v>0</v>
      </c>
      <c r="AG84" s="76">
        <f>IF(AQ84="2",BI84,0)</f>
        <v>0</v>
      </c>
      <c r="AH84" s="76">
        <f>IF(AQ84="0",BJ84,0)</f>
        <v>0</v>
      </c>
      <c r="AI84" s="72"/>
      <c r="AJ84" s="51">
        <f>IF(AN84=0,K84,0)</f>
        <v>0</v>
      </c>
      <c r="AK84" s="51">
        <f>IF(AN84=15,K84,0)</f>
        <v>0</v>
      </c>
      <c r="AL84" s="51">
        <f>IF(AN84=21,K84,0)</f>
        <v>0</v>
      </c>
      <c r="AN84" s="76">
        <v>21</v>
      </c>
      <c r="AO84" s="76">
        <f>H84*0</f>
        <v>0</v>
      </c>
      <c r="AP84" s="76">
        <f>H84*(1-0)</f>
        <v>0</v>
      </c>
      <c r="AQ84" s="71" t="s">
        <v>7</v>
      </c>
      <c r="AV84" s="76">
        <f>AW84+AX84</f>
        <v>0</v>
      </c>
      <c r="AW84" s="76">
        <f>G84*AO84</f>
        <v>0</v>
      </c>
      <c r="AX84" s="76">
        <f>G84*AP84</f>
        <v>0</v>
      </c>
      <c r="AY84" s="77" t="s">
        <v>411</v>
      </c>
      <c r="AZ84" s="77" t="s">
        <v>425</v>
      </c>
      <c r="BA84" s="72" t="s">
        <v>431</v>
      </c>
      <c r="BC84" s="76">
        <f>AW84+AX84</f>
        <v>0</v>
      </c>
      <c r="BD84" s="76">
        <f>H84/(100-BE84)*100</f>
        <v>0</v>
      </c>
      <c r="BE84" s="76">
        <v>0</v>
      </c>
      <c r="BF84" s="76">
        <f>84</f>
        <v>84</v>
      </c>
      <c r="BH84" s="51">
        <f>G84*AO84</f>
        <v>0</v>
      </c>
      <c r="BI84" s="51">
        <f>G84*AP84</f>
        <v>0</v>
      </c>
      <c r="BJ84" s="51">
        <f>G84*H84</f>
        <v>0</v>
      </c>
    </row>
    <row r="85" spans="2:12" ht="12.75">
      <c r="B85" s="24" t="s">
        <v>85</v>
      </c>
      <c r="C85" s="33" t="s">
        <v>236</v>
      </c>
      <c r="D85" s="43"/>
      <c r="E85" s="43"/>
      <c r="F85" s="43"/>
      <c r="G85" s="43"/>
      <c r="H85" s="43"/>
      <c r="I85" s="43"/>
      <c r="J85" s="43"/>
      <c r="K85" s="43"/>
      <c r="L85" s="43"/>
    </row>
    <row r="86" spans="1:47" ht="12.75">
      <c r="A86" s="11"/>
      <c r="B86" s="25" t="s">
        <v>24</v>
      </c>
      <c r="C86" s="25" t="s">
        <v>237</v>
      </c>
      <c r="D86" s="44"/>
      <c r="E86" s="44"/>
      <c r="F86" s="11" t="s">
        <v>6</v>
      </c>
      <c r="G86" s="11" t="s">
        <v>6</v>
      </c>
      <c r="H86" s="11" t="s">
        <v>6</v>
      </c>
      <c r="I86" s="79">
        <f>SUM(I87:I93)</f>
        <v>0</v>
      </c>
      <c r="J86" s="79">
        <f>SUM(J87:J93)</f>
        <v>0</v>
      </c>
      <c r="K86" s="79">
        <f>SUM(K87:K93)</f>
        <v>0</v>
      </c>
      <c r="L86" s="72"/>
      <c r="AI86" s="72"/>
      <c r="AS86" s="79">
        <f>SUM(AJ87:AJ93)</f>
        <v>0</v>
      </c>
      <c r="AT86" s="79">
        <f>SUM(AK87:AK93)</f>
        <v>0</v>
      </c>
      <c r="AU86" s="79">
        <f>SUM(AL87:AL93)</f>
        <v>0</v>
      </c>
    </row>
    <row r="87" spans="1:62" ht="12.75">
      <c r="A87" s="10" t="s">
        <v>32</v>
      </c>
      <c r="B87" s="10" t="s">
        <v>110</v>
      </c>
      <c r="C87" s="10" t="s">
        <v>238</v>
      </c>
      <c r="D87" s="41"/>
      <c r="E87" s="41"/>
      <c r="F87" s="10" t="s">
        <v>371</v>
      </c>
      <c r="G87" s="51">
        <v>131</v>
      </c>
      <c r="H87" s="51">
        <v>0</v>
      </c>
      <c r="I87" s="51">
        <f>G87*AO87</f>
        <v>0</v>
      </c>
      <c r="J87" s="51">
        <f>G87*AP87</f>
        <v>0</v>
      </c>
      <c r="K87" s="51">
        <f>G87*H87</f>
        <v>0</v>
      </c>
      <c r="L87" s="71" t="s">
        <v>393</v>
      </c>
      <c r="Z87" s="76">
        <f>IF(AQ87="5",BJ87,0)</f>
        <v>0</v>
      </c>
      <c r="AB87" s="76">
        <f>IF(AQ87="1",BH87,0)</f>
        <v>0</v>
      </c>
      <c r="AC87" s="76">
        <f>IF(AQ87="1",BI87,0)</f>
        <v>0</v>
      </c>
      <c r="AD87" s="76">
        <f>IF(AQ87="7",BH87,0)</f>
        <v>0</v>
      </c>
      <c r="AE87" s="76">
        <f>IF(AQ87="7",BI87,0)</f>
        <v>0</v>
      </c>
      <c r="AF87" s="76">
        <f>IF(AQ87="2",BH87,0)</f>
        <v>0</v>
      </c>
      <c r="AG87" s="76">
        <f>IF(AQ87="2",BI87,0)</f>
        <v>0</v>
      </c>
      <c r="AH87" s="76">
        <f>IF(AQ87="0",BJ87,0)</f>
        <v>0</v>
      </c>
      <c r="AI87" s="72"/>
      <c r="AJ87" s="51">
        <f>IF(AN87=0,K87,0)</f>
        <v>0</v>
      </c>
      <c r="AK87" s="51">
        <f>IF(AN87=15,K87,0)</f>
        <v>0</v>
      </c>
      <c r="AL87" s="51">
        <f>IF(AN87=21,K87,0)</f>
        <v>0</v>
      </c>
      <c r="AN87" s="76">
        <v>21</v>
      </c>
      <c r="AO87" s="76">
        <f>H87*0</f>
        <v>0</v>
      </c>
      <c r="AP87" s="76">
        <f>H87*(1-0)</f>
        <v>0</v>
      </c>
      <c r="AQ87" s="71" t="s">
        <v>7</v>
      </c>
      <c r="AV87" s="76">
        <f>AW87+AX87</f>
        <v>0</v>
      </c>
      <c r="AW87" s="76">
        <f>G87*AO87</f>
        <v>0</v>
      </c>
      <c r="AX87" s="76">
        <f>G87*AP87</f>
        <v>0</v>
      </c>
      <c r="AY87" s="77" t="s">
        <v>412</v>
      </c>
      <c r="AZ87" s="77" t="s">
        <v>425</v>
      </c>
      <c r="BA87" s="72" t="s">
        <v>431</v>
      </c>
      <c r="BC87" s="76">
        <f>AW87+AX87</f>
        <v>0</v>
      </c>
      <c r="BD87" s="76">
        <f>H87/(100-BE87)*100</f>
        <v>0</v>
      </c>
      <c r="BE87" s="76">
        <v>0</v>
      </c>
      <c r="BF87" s="76">
        <f>87</f>
        <v>87</v>
      </c>
      <c r="BH87" s="51">
        <f>G87*AO87</f>
        <v>0</v>
      </c>
      <c r="BI87" s="51">
        <f>G87*AP87</f>
        <v>0</v>
      </c>
      <c r="BJ87" s="51">
        <f>G87*H87</f>
        <v>0</v>
      </c>
    </row>
    <row r="88" spans="3:7" ht="12.75">
      <c r="C88" s="32" t="s">
        <v>239</v>
      </c>
      <c r="D88" s="42"/>
      <c r="E88" s="42"/>
      <c r="G88" s="52">
        <v>131</v>
      </c>
    </row>
    <row r="89" spans="1:62" ht="12.75">
      <c r="A89" s="10" t="s">
        <v>33</v>
      </c>
      <c r="B89" s="10" t="s">
        <v>111</v>
      </c>
      <c r="C89" s="10" t="s">
        <v>240</v>
      </c>
      <c r="D89" s="41"/>
      <c r="E89" s="41"/>
      <c r="F89" s="10" t="s">
        <v>371</v>
      </c>
      <c r="G89" s="51">
        <v>398.65</v>
      </c>
      <c r="H89" s="51">
        <v>0</v>
      </c>
      <c r="I89" s="51">
        <f>G89*AO89</f>
        <v>0</v>
      </c>
      <c r="J89" s="51">
        <f>G89*AP89</f>
        <v>0</v>
      </c>
      <c r="K89" s="51">
        <f>G89*H89</f>
        <v>0</v>
      </c>
      <c r="L89" s="71" t="s">
        <v>393</v>
      </c>
      <c r="Z89" s="76">
        <f>IF(AQ89="5",BJ89,0)</f>
        <v>0</v>
      </c>
      <c r="AB89" s="76">
        <f>IF(AQ89="1",BH89,0)</f>
        <v>0</v>
      </c>
      <c r="AC89" s="76">
        <f>IF(AQ89="1",BI89,0)</f>
        <v>0</v>
      </c>
      <c r="AD89" s="76">
        <f>IF(AQ89="7",BH89,0)</f>
        <v>0</v>
      </c>
      <c r="AE89" s="76">
        <f>IF(AQ89="7",BI89,0)</f>
        <v>0</v>
      </c>
      <c r="AF89" s="76">
        <f>IF(AQ89="2",BH89,0)</f>
        <v>0</v>
      </c>
      <c r="AG89" s="76">
        <f>IF(AQ89="2",BI89,0)</f>
        <v>0</v>
      </c>
      <c r="AH89" s="76">
        <f>IF(AQ89="0",BJ89,0)</f>
        <v>0</v>
      </c>
      <c r="AI89" s="72"/>
      <c r="AJ89" s="51">
        <f>IF(AN89=0,K89,0)</f>
        <v>0</v>
      </c>
      <c r="AK89" s="51">
        <f>IF(AN89=15,K89,0)</f>
        <v>0</v>
      </c>
      <c r="AL89" s="51">
        <f>IF(AN89=21,K89,0)</f>
        <v>0</v>
      </c>
      <c r="AN89" s="76">
        <v>21</v>
      </c>
      <c r="AO89" s="76">
        <f>H89*0</f>
        <v>0</v>
      </c>
      <c r="AP89" s="76">
        <f>H89*(1-0)</f>
        <v>0</v>
      </c>
      <c r="AQ89" s="71" t="s">
        <v>7</v>
      </c>
      <c r="AV89" s="76">
        <f>AW89+AX89</f>
        <v>0</v>
      </c>
      <c r="AW89" s="76">
        <f>G89*AO89</f>
        <v>0</v>
      </c>
      <c r="AX89" s="76">
        <f>G89*AP89</f>
        <v>0</v>
      </c>
      <c r="AY89" s="77" t="s">
        <v>412</v>
      </c>
      <c r="AZ89" s="77" t="s">
        <v>425</v>
      </c>
      <c r="BA89" s="72" t="s">
        <v>431</v>
      </c>
      <c r="BC89" s="76">
        <f>AW89+AX89</f>
        <v>0</v>
      </c>
      <c r="BD89" s="76">
        <f>H89/(100-BE89)*100</f>
        <v>0</v>
      </c>
      <c r="BE89" s="76">
        <v>0</v>
      </c>
      <c r="BF89" s="76">
        <f>89</f>
        <v>89</v>
      </c>
      <c r="BH89" s="51">
        <f>G89*AO89</f>
        <v>0</v>
      </c>
      <c r="BI89" s="51">
        <f>G89*AP89</f>
        <v>0</v>
      </c>
      <c r="BJ89" s="51">
        <f>G89*H89</f>
        <v>0</v>
      </c>
    </row>
    <row r="90" spans="3:7" ht="12.75">
      <c r="C90" s="32" t="s">
        <v>241</v>
      </c>
      <c r="D90" s="42"/>
      <c r="E90" s="42"/>
      <c r="G90" s="52">
        <v>398.65</v>
      </c>
    </row>
    <row r="91" spans="2:12" ht="12.75">
      <c r="B91" s="24" t="s">
        <v>85</v>
      </c>
      <c r="C91" s="33" t="s">
        <v>242</v>
      </c>
      <c r="D91" s="43"/>
      <c r="E91" s="43"/>
      <c r="F91" s="43"/>
      <c r="G91" s="43"/>
      <c r="H91" s="43"/>
      <c r="I91" s="43"/>
      <c r="J91" s="43"/>
      <c r="K91" s="43"/>
      <c r="L91" s="43"/>
    </row>
    <row r="92" spans="1:62" ht="12.75">
      <c r="A92" s="10" t="s">
        <v>34</v>
      </c>
      <c r="B92" s="10" t="s">
        <v>112</v>
      </c>
      <c r="C92" s="10" t="s">
        <v>243</v>
      </c>
      <c r="D92" s="41"/>
      <c r="E92" s="41"/>
      <c r="F92" s="10" t="s">
        <v>371</v>
      </c>
      <c r="G92" s="51">
        <v>131</v>
      </c>
      <c r="H92" s="51">
        <v>0</v>
      </c>
      <c r="I92" s="51">
        <f>G92*AO92</f>
        <v>0</v>
      </c>
      <c r="J92" s="51">
        <f>G92*AP92</f>
        <v>0</v>
      </c>
      <c r="K92" s="51">
        <f>G92*H92</f>
        <v>0</v>
      </c>
      <c r="L92" s="71" t="s">
        <v>393</v>
      </c>
      <c r="Z92" s="76">
        <f>IF(AQ92="5",BJ92,0)</f>
        <v>0</v>
      </c>
      <c r="AB92" s="76">
        <f>IF(AQ92="1",BH92,0)</f>
        <v>0</v>
      </c>
      <c r="AC92" s="76">
        <f>IF(AQ92="1",BI92,0)</f>
        <v>0</v>
      </c>
      <c r="AD92" s="76">
        <f>IF(AQ92="7",BH92,0)</f>
        <v>0</v>
      </c>
      <c r="AE92" s="76">
        <f>IF(AQ92="7",BI92,0)</f>
        <v>0</v>
      </c>
      <c r="AF92" s="76">
        <f>IF(AQ92="2",BH92,0)</f>
        <v>0</v>
      </c>
      <c r="AG92" s="76">
        <f>IF(AQ92="2",BI92,0)</f>
        <v>0</v>
      </c>
      <c r="AH92" s="76">
        <f>IF(AQ92="0",BJ92,0)</f>
        <v>0</v>
      </c>
      <c r="AI92" s="72"/>
      <c r="AJ92" s="51">
        <f>IF(AN92=0,K92,0)</f>
        <v>0</v>
      </c>
      <c r="AK92" s="51">
        <f>IF(AN92=15,K92,0)</f>
        <v>0</v>
      </c>
      <c r="AL92" s="51">
        <f>IF(AN92=21,K92,0)</f>
        <v>0</v>
      </c>
      <c r="AN92" s="76">
        <v>21</v>
      </c>
      <c r="AO92" s="76">
        <f>H92*0.162380952380952</f>
        <v>0</v>
      </c>
      <c r="AP92" s="76">
        <f>H92*(1-0.162380952380952)</f>
        <v>0</v>
      </c>
      <c r="AQ92" s="71" t="s">
        <v>7</v>
      </c>
      <c r="AV92" s="76">
        <f>AW92+AX92</f>
        <v>0</v>
      </c>
      <c r="AW92" s="76">
        <f>G92*AO92</f>
        <v>0</v>
      </c>
      <c r="AX92" s="76">
        <f>G92*AP92</f>
        <v>0</v>
      </c>
      <c r="AY92" s="77" t="s">
        <v>412</v>
      </c>
      <c r="AZ92" s="77" t="s">
        <v>425</v>
      </c>
      <c r="BA92" s="72" t="s">
        <v>431</v>
      </c>
      <c r="BC92" s="76">
        <f>AW92+AX92</f>
        <v>0</v>
      </c>
      <c r="BD92" s="76">
        <f>H92/(100-BE92)*100</f>
        <v>0</v>
      </c>
      <c r="BE92" s="76">
        <v>0</v>
      </c>
      <c r="BF92" s="76">
        <f>92</f>
        <v>92</v>
      </c>
      <c r="BH92" s="51">
        <f>G92*AO92</f>
        <v>0</v>
      </c>
      <c r="BI92" s="51">
        <f>G92*AP92</f>
        <v>0</v>
      </c>
      <c r="BJ92" s="51">
        <f>G92*H92</f>
        <v>0</v>
      </c>
    </row>
    <row r="93" spans="1:62" ht="12.75">
      <c r="A93" s="10" t="s">
        <v>35</v>
      </c>
      <c r="B93" s="10" t="s">
        <v>113</v>
      </c>
      <c r="C93" s="10" t="s">
        <v>244</v>
      </c>
      <c r="D93" s="41"/>
      <c r="E93" s="41"/>
      <c r="F93" s="10" t="s">
        <v>371</v>
      </c>
      <c r="G93" s="51">
        <v>131</v>
      </c>
      <c r="H93" s="51">
        <v>0</v>
      </c>
      <c r="I93" s="51">
        <f>G93*AO93</f>
        <v>0</v>
      </c>
      <c r="J93" s="51">
        <f>G93*AP93</f>
        <v>0</v>
      </c>
      <c r="K93" s="51">
        <f>G93*H93</f>
        <v>0</v>
      </c>
      <c r="L93" s="71" t="s">
        <v>394</v>
      </c>
      <c r="Z93" s="76">
        <f>IF(AQ93="5",BJ93,0)</f>
        <v>0</v>
      </c>
      <c r="AB93" s="76">
        <f>IF(AQ93="1",BH93,0)</f>
        <v>0</v>
      </c>
      <c r="AC93" s="76">
        <f>IF(AQ93="1",BI93,0)</f>
        <v>0</v>
      </c>
      <c r="AD93" s="76">
        <f>IF(AQ93="7",BH93,0)</f>
        <v>0</v>
      </c>
      <c r="AE93" s="76">
        <f>IF(AQ93="7",BI93,0)</f>
        <v>0</v>
      </c>
      <c r="AF93" s="76">
        <f>IF(AQ93="2",BH93,0)</f>
        <v>0</v>
      </c>
      <c r="AG93" s="76">
        <f>IF(AQ93="2",BI93,0)</f>
        <v>0</v>
      </c>
      <c r="AH93" s="76">
        <f>IF(AQ93="0",BJ93,0)</f>
        <v>0</v>
      </c>
      <c r="AI93" s="72"/>
      <c r="AJ93" s="51">
        <f>IF(AN93=0,K93,0)</f>
        <v>0</v>
      </c>
      <c r="AK93" s="51">
        <f>IF(AN93=15,K93,0)</f>
        <v>0</v>
      </c>
      <c r="AL93" s="51">
        <f>IF(AN93=21,K93,0)</f>
        <v>0</v>
      </c>
      <c r="AN93" s="76">
        <v>21</v>
      </c>
      <c r="AO93" s="76">
        <f>H93*0</f>
        <v>0</v>
      </c>
      <c r="AP93" s="76">
        <f>H93*(1-0)</f>
        <v>0</v>
      </c>
      <c r="AQ93" s="71" t="s">
        <v>7</v>
      </c>
      <c r="AV93" s="76">
        <f>AW93+AX93</f>
        <v>0</v>
      </c>
      <c r="AW93" s="76">
        <f>G93*AO93</f>
        <v>0</v>
      </c>
      <c r="AX93" s="76">
        <f>G93*AP93</f>
        <v>0</v>
      </c>
      <c r="AY93" s="77" t="s">
        <v>412</v>
      </c>
      <c r="AZ93" s="77" t="s">
        <v>425</v>
      </c>
      <c r="BA93" s="72" t="s">
        <v>431</v>
      </c>
      <c r="BC93" s="76">
        <f>AW93+AX93</f>
        <v>0</v>
      </c>
      <c r="BD93" s="76">
        <f>H93/(100-BE93)*100</f>
        <v>0</v>
      </c>
      <c r="BE93" s="76">
        <v>0</v>
      </c>
      <c r="BF93" s="76">
        <f>93</f>
        <v>93</v>
      </c>
      <c r="BH93" s="51">
        <f>G93*AO93</f>
        <v>0</v>
      </c>
      <c r="BI93" s="51">
        <f>G93*AP93</f>
        <v>0</v>
      </c>
      <c r="BJ93" s="51">
        <f>G93*H93</f>
        <v>0</v>
      </c>
    </row>
    <row r="94" spans="2:12" ht="12.75">
      <c r="B94" s="24" t="s">
        <v>85</v>
      </c>
      <c r="C94" s="33" t="s">
        <v>245</v>
      </c>
      <c r="D94" s="43"/>
      <c r="E94" s="43"/>
      <c r="F94" s="43"/>
      <c r="G94" s="43"/>
      <c r="H94" s="43"/>
      <c r="I94" s="43"/>
      <c r="J94" s="43"/>
      <c r="K94" s="43"/>
      <c r="L94" s="43"/>
    </row>
    <row r="95" spans="1:47" ht="12.75">
      <c r="A95" s="11"/>
      <c r="B95" s="25" t="s">
        <v>25</v>
      </c>
      <c r="C95" s="25" t="s">
        <v>246</v>
      </c>
      <c r="D95" s="44"/>
      <c r="E95" s="44"/>
      <c r="F95" s="11" t="s">
        <v>6</v>
      </c>
      <c r="G95" s="11" t="s">
        <v>6</v>
      </c>
      <c r="H95" s="11" t="s">
        <v>6</v>
      </c>
      <c r="I95" s="79">
        <f>SUM(I96:I96)</f>
        <v>0</v>
      </c>
      <c r="J95" s="79">
        <f>SUM(J96:J96)</f>
        <v>0</v>
      </c>
      <c r="K95" s="79">
        <f>SUM(K96:K96)</f>
        <v>0</v>
      </c>
      <c r="L95" s="72"/>
      <c r="AI95" s="72"/>
      <c r="AS95" s="79">
        <f>SUM(AJ96:AJ96)</f>
        <v>0</v>
      </c>
      <c r="AT95" s="79">
        <f>SUM(AK96:AK96)</f>
        <v>0</v>
      </c>
      <c r="AU95" s="79">
        <f>SUM(AL96:AL96)</f>
        <v>0</v>
      </c>
    </row>
    <row r="96" spans="1:62" ht="12.75">
      <c r="A96" s="10" t="s">
        <v>36</v>
      </c>
      <c r="B96" s="10" t="s">
        <v>114</v>
      </c>
      <c r="C96" s="10" t="s">
        <v>247</v>
      </c>
      <c r="D96" s="41"/>
      <c r="E96" s="41"/>
      <c r="F96" s="10" t="s">
        <v>373</v>
      </c>
      <c r="G96" s="51">
        <v>70.8</v>
      </c>
      <c r="H96" s="51">
        <v>0</v>
      </c>
      <c r="I96" s="51">
        <f>G96*AO96</f>
        <v>0</v>
      </c>
      <c r="J96" s="51">
        <f>G96*AP96</f>
        <v>0</v>
      </c>
      <c r="K96" s="51">
        <f>G96*H96</f>
        <v>0</v>
      </c>
      <c r="L96" s="71" t="s">
        <v>393</v>
      </c>
      <c r="Z96" s="76">
        <f>IF(AQ96="5",BJ96,0)</f>
        <v>0</v>
      </c>
      <c r="AB96" s="76">
        <f>IF(AQ96="1",BH96,0)</f>
        <v>0</v>
      </c>
      <c r="AC96" s="76">
        <f>IF(AQ96="1",BI96,0)</f>
        <v>0</v>
      </c>
      <c r="AD96" s="76">
        <f>IF(AQ96="7",BH96,0)</f>
        <v>0</v>
      </c>
      <c r="AE96" s="76">
        <f>IF(AQ96="7",BI96,0)</f>
        <v>0</v>
      </c>
      <c r="AF96" s="76">
        <f>IF(AQ96="2",BH96,0)</f>
        <v>0</v>
      </c>
      <c r="AG96" s="76">
        <f>IF(AQ96="2",BI96,0)</f>
        <v>0</v>
      </c>
      <c r="AH96" s="76">
        <f>IF(AQ96="0",BJ96,0)</f>
        <v>0</v>
      </c>
      <c r="AI96" s="72"/>
      <c r="AJ96" s="51">
        <f>IF(AN96=0,K96,0)</f>
        <v>0</v>
      </c>
      <c r="AK96" s="51">
        <f>IF(AN96=15,K96,0)</f>
        <v>0</v>
      </c>
      <c r="AL96" s="51">
        <f>IF(AN96=21,K96,0)</f>
        <v>0</v>
      </c>
      <c r="AN96" s="76">
        <v>21</v>
      </c>
      <c r="AO96" s="76">
        <f>H96*0</f>
        <v>0</v>
      </c>
      <c r="AP96" s="76">
        <f>H96*(1-0)</f>
        <v>0</v>
      </c>
      <c r="AQ96" s="71" t="s">
        <v>7</v>
      </c>
      <c r="AV96" s="76">
        <f>AW96+AX96</f>
        <v>0</v>
      </c>
      <c r="AW96" s="76">
        <f>G96*AO96</f>
        <v>0</v>
      </c>
      <c r="AX96" s="76">
        <f>G96*AP96</f>
        <v>0</v>
      </c>
      <c r="AY96" s="77" t="s">
        <v>413</v>
      </c>
      <c r="AZ96" s="77" t="s">
        <v>425</v>
      </c>
      <c r="BA96" s="72" t="s">
        <v>431</v>
      </c>
      <c r="BC96" s="76">
        <f>AW96+AX96</f>
        <v>0</v>
      </c>
      <c r="BD96" s="76">
        <f>H96/(100-BE96)*100</f>
        <v>0</v>
      </c>
      <c r="BE96" s="76">
        <v>0</v>
      </c>
      <c r="BF96" s="76">
        <f>96</f>
        <v>96</v>
      </c>
      <c r="BH96" s="51">
        <f>G96*AO96</f>
        <v>0</v>
      </c>
      <c r="BI96" s="51">
        <f>G96*AP96</f>
        <v>0</v>
      </c>
      <c r="BJ96" s="51">
        <f>G96*H96</f>
        <v>0</v>
      </c>
    </row>
    <row r="97" spans="1:47" ht="12.75">
      <c r="A97" s="11"/>
      <c r="B97" s="25" t="s">
        <v>27</v>
      </c>
      <c r="C97" s="25" t="s">
        <v>248</v>
      </c>
      <c r="D97" s="44"/>
      <c r="E97" s="44"/>
      <c r="F97" s="11" t="s">
        <v>6</v>
      </c>
      <c r="G97" s="11" t="s">
        <v>6</v>
      </c>
      <c r="H97" s="11" t="s">
        <v>6</v>
      </c>
      <c r="I97" s="79">
        <f>SUM(I98:I100)</f>
        <v>0</v>
      </c>
      <c r="J97" s="79">
        <f>SUM(J98:J100)</f>
        <v>0</v>
      </c>
      <c r="K97" s="79">
        <f>SUM(K98:K100)</f>
        <v>0</v>
      </c>
      <c r="L97" s="72"/>
      <c r="AI97" s="72"/>
      <c r="AS97" s="79">
        <f>SUM(AJ98:AJ100)</f>
        <v>0</v>
      </c>
      <c r="AT97" s="79">
        <f>SUM(AK98:AK100)</f>
        <v>0</v>
      </c>
      <c r="AU97" s="79">
        <f>SUM(AL98:AL100)</f>
        <v>0</v>
      </c>
    </row>
    <row r="98" spans="1:62" ht="12.75">
      <c r="A98" s="10" t="s">
        <v>37</v>
      </c>
      <c r="B98" s="10" t="s">
        <v>115</v>
      </c>
      <c r="C98" s="10" t="s">
        <v>249</v>
      </c>
      <c r="D98" s="41"/>
      <c r="E98" s="41"/>
      <c r="F98" s="10" t="s">
        <v>372</v>
      </c>
      <c r="G98" s="51">
        <v>88</v>
      </c>
      <c r="H98" s="51">
        <v>0</v>
      </c>
      <c r="I98" s="51">
        <f>G98*AO98</f>
        <v>0</v>
      </c>
      <c r="J98" s="51">
        <f>G98*AP98</f>
        <v>0</v>
      </c>
      <c r="K98" s="51">
        <f>G98*H98</f>
        <v>0</v>
      </c>
      <c r="L98" s="71" t="s">
        <v>394</v>
      </c>
      <c r="Z98" s="76">
        <f>IF(AQ98="5",BJ98,0)</f>
        <v>0</v>
      </c>
      <c r="AB98" s="76">
        <f>IF(AQ98="1",BH98,0)</f>
        <v>0</v>
      </c>
      <c r="AC98" s="76">
        <f>IF(AQ98="1",BI98,0)</f>
        <v>0</v>
      </c>
      <c r="AD98" s="76">
        <f>IF(AQ98="7",BH98,0)</f>
        <v>0</v>
      </c>
      <c r="AE98" s="76">
        <f>IF(AQ98="7",BI98,0)</f>
        <v>0</v>
      </c>
      <c r="AF98" s="76">
        <f>IF(AQ98="2",BH98,0)</f>
        <v>0</v>
      </c>
      <c r="AG98" s="76">
        <f>IF(AQ98="2",BI98,0)</f>
        <v>0</v>
      </c>
      <c r="AH98" s="76">
        <f>IF(AQ98="0",BJ98,0)</f>
        <v>0</v>
      </c>
      <c r="AI98" s="72"/>
      <c r="AJ98" s="51">
        <f>IF(AN98=0,K98,0)</f>
        <v>0</v>
      </c>
      <c r="AK98" s="51">
        <f>IF(AN98=15,K98,0)</f>
        <v>0</v>
      </c>
      <c r="AL98" s="51">
        <f>IF(AN98=21,K98,0)</f>
        <v>0</v>
      </c>
      <c r="AN98" s="76">
        <v>21</v>
      </c>
      <c r="AO98" s="76">
        <f>H98*0.577056856187291</f>
        <v>0</v>
      </c>
      <c r="AP98" s="76">
        <f>H98*(1-0.577056856187291)</f>
        <v>0</v>
      </c>
      <c r="AQ98" s="71" t="s">
        <v>7</v>
      </c>
      <c r="AV98" s="76">
        <f>AW98+AX98</f>
        <v>0</v>
      </c>
      <c r="AW98" s="76">
        <f>G98*AO98</f>
        <v>0</v>
      </c>
      <c r="AX98" s="76">
        <f>G98*AP98</f>
        <v>0</v>
      </c>
      <c r="AY98" s="77" t="s">
        <v>414</v>
      </c>
      <c r="AZ98" s="77" t="s">
        <v>426</v>
      </c>
      <c r="BA98" s="72" t="s">
        <v>431</v>
      </c>
      <c r="BC98" s="76">
        <f>AW98+AX98</f>
        <v>0</v>
      </c>
      <c r="BD98" s="76">
        <f>H98/(100-BE98)*100</f>
        <v>0</v>
      </c>
      <c r="BE98" s="76">
        <v>0</v>
      </c>
      <c r="BF98" s="76">
        <f>98</f>
        <v>98</v>
      </c>
      <c r="BH98" s="51">
        <f>G98*AO98</f>
        <v>0</v>
      </c>
      <c r="BI98" s="51">
        <f>G98*AP98</f>
        <v>0</v>
      </c>
      <c r="BJ98" s="51">
        <f>G98*H98</f>
        <v>0</v>
      </c>
    </row>
    <row r="99" spans="2:12" ht="25.5" customHeight="1">
      <c r="B99" s="24" t="s">
        <v>85</v>
      </c>
      <c r="C99" s="33" t="s">
        <v>250</v>
      </c>
      <c r="D99" s="43"/>
      <c r="E99" s="43"/>
      <c r="F99" s="43"/>
      <c r="G99" s="43"/>
      <c r="H99" s="43"/>
      <c r="I99" s="43"/>
      <c r="J99" s="43"/>
      <c r="K99" s="43"/>
      <c r="L99" s="43"/>
    </row>
    <row r="100" spans="1:62" ht="12.75">
      <c r="A100" s="10" t="s">
        <v>38</v>
      </c>
      <c r="B100" s="10" t="s">
        <v>116</v>
      </c>
      <c r="C100" s="10" t="s">
        <v>251</v>
      </c>
      <c r="D100" s="41"/>
      <c r="E100" s="41"/>
      <c r="F100" s="10" t="s">
        <v>373</v>
      </c>
      <c r="G100" s="51">
        <v>7.7</v>
      </c>
      <c r="H100" s="51">
        <v>0</v>
      </c>
      <c r="I100" s="51">
        <f>G100*AO100</f>
        <v>0</v>
      </c>
      <c r="J100" s="51">
        <f>G100*AP100</f>
        <v>0</v>
      </c>
      <c r="K100" s="51">
        <f>G100*H100</f>
        <v>0</v>
      </c>
      <c r="L100" s="71" t="s">
        <v>394</v>
      </c>
      <c r="Z100" s="76">
        <f>IF(AQ100="5",BJ100,0)</f>
        <v>0</v>
      </c>
      <c r="AB100" s="76">
        <f>IF(AQ100="1",BH100,0)</f>
        <v>0</v>
      </c>
      <c r="AC100" s="76">
        <f>IF(AQ100="1",BI100,0)</f>
        <v>0</v>
      </c>
      <c r="AD100" s="76">
        <f>IF(AQ100="7",BH100,0)</f>
        <v>0</v>
      </c>
      <c r="AE100" s="76">
        <f>IF(AQ100="7",BI100,0)</f>
        <v>0</v>
      </c>
      <c r="AF100" s="76">
        <f>IF(AQ100="2",BH100,0)</f>
        <v>0</v>
      </c>
      <c r="AG100" s="76">
        <f>IF(AQ100="2",BI100,0)</f>
        <v>0</v>
      </c>
      <c r="AH100" s="76">
        <f>IF(AQ100="0",BJ100,0)</f>
        <v>0</v>
      </c>
      <c r="AI100" s="72"/>
      <c r="AJ100" s="51">
        <f>IF(AN100=0,K100,0)</f>
        <v>0</v>
      </c>
      <c r="AK100" s="51">
        <f>IF(AN100=15,K100,0)</f>
        <v>0</v>
      </c>
      <c r="AL100" s="51">
        <f>IF(AN100=21,K100,0)</f>
        <v>0</v>
      </c>
      <c r="AN100" s="76">
        <v>21</v>
      </c>
      <c r="AO100" s="76">
        <f>H100*0.716270742358079</f>
        <v>0</v>
      </c>
      <c r="AP100" s="76">
        <f>H100*(1-0.716270742358079)</f>
        <v>0</v>
      </c>
      <c r="AQ100" s="71" t="s">
        <v>7</v>
      </c>
      <c r="AV100" s="76">
        <f>AW100+AX100</f>
        <v>0</v>
      </c>
      <c r="AW100" s="76">
        <f>G100*AO100</f>
        <v>0</v>
      </c>
      <c r="AX100" s="76">
        <f>G100*AP100</f>
        <v>0</v>
      </c>
      <c r="AY100" s="77" t="s">
        <v>414</v>
      </c>
      <c r="AZ100" s="77" t="s">
        <v>426</v>
      </c>
      <c r="BA100" s="72" t="s">
        <v>431</v>
      </c>
      <c r="BC100" s="76">
        <f>AW100+AX100</f>
        <v>0</v>
      </c>
      <c r="BD100" s="76">
        <f>H100/(100-BE100)*100</f>
        <v>0</v>
      </c>
      <c r="BE100" s="76">
        <v>0</v>
      </c>
      <c r="BF100" s="76">
        <f>100</f>
        <v>100</v>
      </c>
      <c r="BH100" s="51">
        <f>G100*AO100</f>
        <v>0</v>
      </c>
      <c r="BI100" s="51">
        <f>G100*AP100</f>
        <v>0</v>
      </c>
      <c r="BJ100" s="51">
        <f>G100*H100</f>
        <v>0</v>
      </c>
    </row>
    <row r="101" spans="3:7" ht="12.75">
      <c r="C101" s="32" t="s">
        <v>208</v>
      </c>
      <c r="D101" s="42"/>
      <c r="E101" s="42"/>
      <c r="G101" s="52">
        <v>7.7</v>
      </c>
    </row>
    <row r="102" spans="1:47" ht="12.75">
      <c r="A102" s="11"/>
      <c r="B102" s="25" t="s">
        <v>62</v>
      </c>
      <c r="C102" s="25" t="s">
        <v>252</v>
      </c>
      <c r="D102" s="44"/>
      <c r="E102" s="44"/>
      <c r="F102" s="11" t="s">
        <v>6</v>
      </c>
      <c r="G102" s="11" t="s">
        <v>6</v>
      </c>
      <c r="H102" s="11" t="s">
        <v>6</v>
      </c>
      <c r="I102" s="79">
        <f>SUM(I103:I113)</f>
        <v>0</v>
      </c>
      <c r="J102" s="79">
        <f>SUM(J103:J113)</f>
        <v>0</v>
      </c>
      <c r="K102" s="79">
        <f>SUM(K103:K113)</f>
        <v>0</v>
      </c>
      <c r="L102" s="72"/>
      <c r="AI102" s="72"/>
      <c r="AS102" s="79">
        <f>SUM(AJ103:AJ113)</f>
        <v>0</v>
      </c>
      <c r="AT102" s="79">
        <f>SUM(AK103:AK113)</f>
        <v>0</v>
      </c>
      <c r="AU102" s="79">
        <f>SUM(AL103:AL113)</f>
        <v>0</v>
      </c>
    </row>
    <row r="103" spans="1:62" ht="12.75">
      <c r="A103" s="10" t="s">
        <v>39</v>
      </c>
      <c r="B103" s="10" t="s">
        <v>117</v>
      </c>
      <c r="C103" s="10" t="s">
        <v>253</v>
      </c>
      <c r="D103" s="41"/>
      <c r="E103" s="41"/>
      <c r="F103" s="10" t="s">
        <v>371</v>
      </c>
      <c r="G103" s="51">
        <v>41</v>
      </c>
      <c r="H103" s="51">
        <v>0</v>
      </c>
      <c r="I103" s="51">
        <f>G103*AO103</f>
        <v>0</v>
      </c>
      <c r="J103" s="51">
        <f>G103*AP103</f>
        <v>0</v>
      </c>
      <c r="K103" s="51">
        <f>G103*H103</f>
        <v>0</v>
      </c>
      <c r="L103" s="71" t="s">
        <v>393</v>
      </c>
      <c r="Z103" s="76">
        <f>IF(AQ103="5",BJ103,0)</f>
        <v>0</v>
      </c>
      <c r="AB103" s="76">
        <f>IF(AQ103="1",BH103,0)</f>
        <v>0</v>
      </c>
      <c r="AC103" s="76">
        <f>IF(AQ103="1",BI103,0)</f>
        <v>0</v>
      </c>
      <c r="AD103" s="76">
        <f>IF(AQ103="7",BH103,0)</f>
        <v>0</v>
      </c>
      <c r="AE103" s="76">
        <f>IF(AQ103="7",BI103,0)</f>
        <v>0</v>
      </c>
      <c r="AF103" s="76">
        <f>IF(AQ103="2",BH103,0)</f>
        <v>0</v>
      </c>
      <c r="AG103" s="76">
        <f>IF(AQ103="2",BI103,0)</f>
        <v>0</v>
      </c>
      <c r="AH103" s="76">
        <f>IF(AQ103="0",BJ103,0)</f>
        <v>0</v>
      </c>
      <c r="AI103" s="72"/>
      <c r="AJ103" s="51">
        <f>IF(AN103=0,K103,0)</f>
        <v>0</v>
      </c>
      <c r="AK103" s="51">
        <f>IF(AN103=15,K103,0)</f>
        <v>0</v>
      </c>
      <c r="AL103" s="51">
        <f>IF(AN103=21,K103,0)</f>
        <v>0</v>
      </c>
      <c r="AN103" s="76">
        <v>21</v>
      </c>
      <c r="AO103" s="76">
        <f>H103*0.865915492957747</f>
        <v>0</v>
      </c>
      <c r="AP103" s="76">
        <f>H103*(1-0.865915492957747)</f>
        <v>0</v>
      </c>
      <c r="AQ103" s="71" t="s">
        <v>7</v>
      </c>
      <c r="AV103" s="76">
        <f>AW103+AX103</f>
        <v>0</v>
      </c>
      <c r="AW103" s="76">
        <f>G103*AO103</f>
        <v>0</v>
      </c>
      <c r="AX103" s="76">
        <f>G103*AP103</f>
        <v>0</v>
      </c>
      <c r="AY103" s="77" t="s">
        <v>415</v>
      </c>
      <c r="AZ103" s="77" t="s">
        <v>427</v>
      </c>
      <c r="BA103" s="72" t="s">
        <v>431</v>
      </c>
      <c r="BC103" s="76">
        <f>AW103+AX103</f>
        <v>0</v>
      </c>
      <c r="BD103" s="76">
        <f>H103/(100-BE103)*100</f>
        <v>0</v>
      </c>
      <c r="BE103" s="76">
        <v>0</v>
      </c>
      <c r="BF103" s="76">
        <f>103</f>
        <v>103</v>
      </c>
      <c r="BH103" s="51">
        <f>G103*AO103</f>
        <v>0</v>
      </c>
      <c r="BI103" s="51">
        <f>G103*AP103</f>
        <v>0</v>
      </c>
      <c r="BJ103" s="51">
        <f>G103*H103</f>
        <v>0</v>
      </c>
    </row>
    <row r="104" spans="3:7" ht="12.75">
      <c r="C104" s="32" t="s">
        <v>254</v>
      </c>
      <c r="D104" s="42"/>
      <c r="E104" s="42"/>
      <c r="G104" s="52">
        <v>41</v>
      </c>
    </row>
    <row r="105" spans="1:62" ht="12.75">
      <c r="A105" s="10" t="s">
        <v>40</v>
      </c>
      <c r="B105" s="10" t="s">
        <v>118</v>
      </c>
      <c r="C105" s="10" t="s">
        <v>255</v>
      </c>
      <c r="D105" s="41"/>
      <c r="E105" s="41"/>
      <c r="F105" s="10" t="s">
        <v>371</v>
      </c>
      <c r="G105" s="51">
        <v>357.65</v>
      </c>
      <c r="H105" s="51">
        <v>0</v>
      </c>
      <c r="I105" s="51">
        <f>G105*AO105</f>
        <v>0</v>
      </c>
      <c r="J105" s="51">
        <f>G105*AP105</f>
        <v>0</v>
      </c>
      <c r="K105" s="51">
        <f>G105*H105</f>
        <v>0</v>
      </c>
      <c r="L105" s="71" t="s">
        <v>393</v>
      </c>
      <c r="Z105" s="76">
        <f>IF(AQ105="5",BJ105,0)</f>
        <v>0</v>
      </c>
      <c r="AB105" s="76">
        <f>IF(AQ105="1",BH105,0)</f>
        <v>0</v>
      </c>
      <c r="AC105" s="76">
        <f>IF(AQ105="1",BI105,0)</f>
        <v>0</v>
      </c>
      <c r="AD105" s="76">
        <f>IF(AQ105="7",BH105,0)</f>
        <v>0</v>
      </c>
      <c r="AE105" s="76">
        <f>IF(AQ105="7",BI105,0)</f>
        <v>0</v>
      </c>
      <c r="AF105" s="76">
        <f>IF(AQ105="2",BH105,0)</f>
        <v>0</v>
      </c>
      <c r="AG105" s="76">
        <f>IF(AQ105="2",BI105,0)</f>
        <v>0</v>
      </c>
      <c r="AH105" s="76">
        <f>IF(AQ105="0",BJ105,0)</f>
        <v>0</v>
      </c>
      <c r="AI105" s="72"/>
      <c r="AJ105" s="51">
        <f>IF(AN105=0,K105,0)</f>
        <v>0</v>
      </c>
      <c r="AK105" s="51">
        <f>IF(AN105=15,K105,0)</f>
        <v>0</v>
      </c>
      <c r="AL105" s="51">
        <f>IF(AN105=21,K105,0)</f>
        <v>0</v>
      </c>
      <c r="AN105" s="76">
        <v>21</v>
      </c>
      <c r="AO105" s="76">
        <f>H105*0.866939700626769</f>
        <v>0</v>
      </c>
      <c r="AP105" s="76">
        <f>H105*(1-0.866939700626769)</f>
        <v>0</v>
      </c>
      <c r="AQ105" s="71" t="s">
        <v>7</v>
      </c>
      <c r="AV105" s="76">
        <f>AW105+AX105</f>
        <v>0</v>
      </c>
      <c r="AW105" s="76">
        <f>G105*AO105</f>
        <v>0</v>
      </c>
      <c r="AX105" s="76">
        <f>G105*AP105</f>
        <v>0</v>
      </c>
      <c r="AY105" s="77" t="s">
        <v>415</v>
      </c>
      <c r="AZ105" s="77" t="s">
        <v>427</v>
      </c>
      <c r="BA105" s="72" t="s">
        <v>431</v>
      </c>
      <c r="BC105" s="76">
        <f>AW105+AX105</f>
        <v>0</v>
      </c>
      <c r="BD105" s="76">
        <f>H105/(100-BE105)*100</f>
        <v>0</v>
      </c>
      <c r="BE105" s="76">
        <v>0</v>
      </c>
      <c r="BF105" s="76">
        <f>105</f>
        <v>105</v>
      </c>
      <c r="BH105" s="51">
        <f>G105*AO105</f>
        <v>0</v>
      </c>
      <c r="BI105" s="51">
        <f>G105*AP105</f>
        <v>0</v>
      </c>
      <c r="BJ105" s="51">
        <f>G105*H105</f>
        <v>0</v>
      </c>
    </row>
    <row r="106" spans="3:7" ht="12.75">
      <c r="C106" s="32" t="s">
        <v>256</v>
      </c>
      <c r="D106" s="42"/>
      <c r="E106" s="42"/>
      <c r="G106" s="52">
        <v>309</v>
      </c>
    </row>
    <row r="107" spans="3:7" ht="12.75">
      <c r="C107" s="32" t="s">
        <v>257</v>
      </c>
      <c r="D107" s="42"/>
      <c r="E107" s="42"/>
      <c r="G107" s="52">
        <v>48.65</v>
      </c>
    </row>
    <row r="108" spans="1:62" ht="12.75">
      <c r="A108" s="10" t="s">
        <v>41</v>
      </c>
      <c r="B108" s="10" t="s">
        <v>119</v>
      </c>
      <c r="C108" s="10" t="s">
        <v>258</v>
      </c>
      <c r="D108" s="41"/>
      <c r="E108" s="41"/>
      <c r="F108" s="10" t="s">
        <v>371</v>
      </c>
      <c r="G108" s="51">
        <v>700</v>
      </c>
      <c r="H108" s="51">
        <v>0</v>
      </c>
      <c r="I108" s="51">
        <f>G108*AO108</f>
        <v>0</v>
      </c>
      <c r="J108" s="51">
        <f>G108*AP108</f>
        <v>0</v>
      </c>
      <c r="K108" s="51">
        <f>G108*H108</f>
        <v>0</v>
      </c>
      <c r="L108" s="71" t="s">
        <v>393</v>
      </c>
      <c r="Z108" s="76">
        <f>IF(AQ108="5",BJ108,0)</f>
        <v>0</v>
      </c>
      <c r="AB108" s="76">
        <f>IF(AQ108="1",BH108,0)</f>
        <v>0</v>
      </c>
      <c r="AC108" s="76">
        <f>IF(AQ108="1",BI108,0)</f>
        <v>0</v>
      </c>
      <c r="AD108" s="76">
        <f>IF(AQ108="7",BH108,0)</f>
        <v>0</v>
      </c>
      <c r="AE108" s="76">
        <f>IF(AQ108="7",BI108,0)</f>
        <v>0</v>
      </c>
      <c r="AF108" s="76">
        <f>IF(AQ108="2",BH108,0)</f>
        <v>0</v>
      </c>
      <c r="AG108" s="76">
        <f>IF(AQ108="2",BI108,0)</f>
        <v>0</v>
      </c>
      <c r="AH108" s="76">
        <f>IF(AQ108="0",BJ108,0)</f>
        <v>0</v>
      </c>
      <c r="AI108" s="72"/>
      <c r="AJ108" s="51">
        <f>IF(AN108=0,K108,0)</f>
        <v>0</v>
      </c>
      <c r="AK108" s="51">
        <f>IF(AN108=15,K108,0)</f>
        <v>0</v>
      </c>
      <c r="AL108" s="51">
        <f>IF(AN108=21,K108,0)</f>
        <v>0</v>
      </c>
      <c r="AN108" s="76">
        <v>21</v>
      </c>
      <c r="AO108" s="76">
        <f>H108*0.877478152309613</f>
        <v>0</v>
      </c>
      <c r="AP108" s="76">
        <f>H108*(1-0.877478152309613)</f>
        <v>0</v>
      </c>
      <c r="AQ108" s="71" t="s">
        <v>7</v>
      </c>
      <c r="AV108" s="76">
        <f>AW108+AX108</f>
        <v>0</v>
      </c>
      <c r="AW108" s="76">
        <f>G108*AO108</f>
        <v>0</v>
      </c>
      <c r="AX108" s="76">
        <f>G108*AP108</f>
        <v>0</v>
      </c>
      <c r="AY108" s="77" t="s">
        <v>415</v>
      </c>
      <c r="AZ108" s="77" t="s">
        <v>427</v>
      </c>
      <c r="BA108" s="72" t="s">
        <v>431</v>
      </c>
      <c r="BC108" s="76">
        <f>AW108+AX108</f>
        <v>0</v>
      </c>
      <c r="BD108" s="76">
        <f>H108/(100-BE108)*100</f>
        <v>0</v>
      </c>
      <c r="BE108" s="76">
        <v>0</v>
      </c>
      <c r="BF108" s="76">
        <f>108</f>
        <v>108</v>
      </c>
      <c r="BH108" s="51">
        <f>G108*AO108</f>
        <v>0</v>
      </c>
      <c r="BI108" s="51">
        <f>G108*AP108</f>
        <v>0</v>
      </c>
      <c r="BJ108" s="51">
        <f>G108*H108</f>
        <v>0</v>
      </c>
    </row>
    <row r="109" spans="3:7" ht="12.75">
      <c r="C109" s="32" t="s">
        <v>259</v>
      </c>
      <c r="D109" s="42"/>
      <c r="E109" s="42"/>
      <c r="G109" s="52">
        <v>700</v>
      </c>
    </row>
    <row r="110" spans="1:62" ht="12.75">
      <c r="A110" s="10" t="s">
        <v>42</v>
      </c>
      <c r="B110" s="10" t="s">
        <v>120</v>
      </c>
      <c r="C110" s="10" t="s">
        <v>260</v>
      </c>
      <c r="D110" s="41"/>
      <c r="E110" s="41"/>
      <c r="F110" s="10" t="s">
        <v>371</v>
      </c>
      <c r="G110" s="51">
        <v>365</v>
      </c>
      <c r="H110" s="51">
        <v>0</v>
      </c>
      <c r="I110" s="51">
        <f>G110*AO110</f>
        <v>0</v>
      </c>
      <c r="J110" s="51">
        <f>G110*AP110</f>
        <v>0</v>
      </c>
      <c r="K110" s="51">
        <f>G110*H110</f>
        <v>0</v>
      </c>
      <c r="L110" s="71" t="s">
        <v>393</v>
      </c>
      <c r="Z110" s="76">
        <f>IF(AQ110="5",BJ110,0)</f>
        <v>0</v>
      </c>
      <c r="AB110" s="76">
        <f>IF(AQ110="1",BH110,0)</f>
        <v>0</v>
      </c>
      <c r="AC110" s="76">
        <f>IF(AQ110="1",BI110,0)</f>
        <v>0</v>
      </c>
      <c r="AD110" s="76">
        <f>IF(AQ110="7",BH110,0)</f>
        <v>0</v>
      </c>
      <c r="AE110" s="76">
        <f>IF(AQ110="7",BI110,0)</f>
        <v>0</v>
      </c>
      <c r="AF110" s="76">
        <f>IF(AQ110="2",BH110,0)</f>
        <v>0</v>
      </c>
      <c r="AG110" s="76">
        <f>IF(AQ110="2",BI110,0)</f>
        <v>0</v>
      </c>
      <c r="AH110" s="76">
        <f>IF(AQ110="0",BJ110,0)</f>
        <v>0</v>
      </c>
      <c r="AI110" s="72"/>
      <c r="AJ110" s="51">
        <f>IF(AN110=0,K110,0)</f>
        <v>0</v>
      </c>
      <c r="AK110" s="51">
        <f>IF(AN110=15,K110,0)</f>
        <v>0</v>
      </c>
      <c r="AL110" s="51">
        <f>IF(AN110=21,K110,0)</f>
        <v>0</v>
      </c>
      <c r="AN110" s="76">
        <v>21</v>
      </c>
      <c r="AO110" s="76">
        <f>H110*0.880922063666301</f>
        <v>0</v>
      </c>
      <c r="AP110" s="76">
        <f>H110*(1-0.880922063666301)</f>
        <v>0</v>
      </c>
      <c r="AQ110" s="71" t="s">
        <v>7</v>
      </c>
      <c r="AV110" s="76">
        <f>AW110+AX110</f>
        <v>0</v>
      </c>
      <c r="AW110" s="76">
        <f>G110*AO110</f>
        <v>0</v>
      </c>
      <c r="AX110" s="76">
        <f>G110*AP110</f>
        <v>0</v>
      </c>
      <c r="AY110" s="77" t="s">
        <v>415</v>
      </c>
      <c r="AZ110" s="77" t="s">
        <v>427</v>
      </c>
      <c r="BA110" s="72" t="s">
        <v>431</v>
      </c>
      <c r="BC110" s="76">
        <f>AW110+AX110</f>
        <v>0</v>
      </c>
      <c r="BD110" s="76">
        <f>H110/(100-BE110)*100</f>
        <v>0</v>
      </c>
      <c r="BE110" s="76">
        <v>0</v>
      </c>
      <c r="BF110" s="76">
        <f>110</f>
        <v>110</v>
      </c>
      <c r="BH110" s="51">
        <f>G110*AO110</f>
        <v>0</v>
      </c>
      <c r="BI110" s="51">
        <f>G110*AP110</f>
        <v>0</v>
      </c>
      <c r="BJ110" s="51">
        <f>G110*H110</f>
        <v>0</v>
      </c>
    </row>
    <row r="111" spans="3:7" ht="12.75">
      <c r="C111" s="32" t="s">
        <v>261</v>
      </c>
      <c r="D111" s="42"/>
      <c r="E111" s="42"/>
      <c r="G111" s="52">
        <v>309</v>
      </c>
    </row>
    <row r="112" spans="3:7" ht="12.75">
      <c r="C112" s="32" t="s">
        <v>262</v>
      </c>
      <c r="D112" s="42"/>
      <c r="E112" s="42"/>
      <c r="G112" s="52">
        <v>56</v>
      </c>
    </row>
    <row r="113" spans="1:62" ht="12.75">
      <c r="A113" s="10" t="s">
        <v>43</v>
      </c>
      <c r="B113" s="10" t="s">
        <v>121</v>
      </c>
      <c r="C113" s="10" t="s">
        <v>263</v>
      </c>
      <c r="D113" s="41"/>
      <c r="E113" s="41"/>
      <c r="F113" s="10" t="s">
        <v>371</v>
      </c>
      <c r="G113" s="51">
        <v>309</v>
      </c>
      <c r="H113" s="51">
        <v>0</v>
      </c>
      <c r="I113" s="51">
        <f>G113*AO113</f>
        <v>0</v>
      </c>
      <c r="J113" s="51">
        <f>G113*AP113</f>
        <v>0</v>
      </c>
      <c r="K113" s="51">
        <f>G113*H113</f>
        <v>0</v>
      </c>
      <c r="L113" s="71" t="s">
        <v>393</v>
      </c>
      <c r="Z113" s="76">
        <f>IF(AQ113="5",BJ113,0)</f>
        <v>0</v>
      </c>
      <c r="AB113" s="76">
        <f>IF(AQ113="1",BH113,0)</f>
        <v>0</v>
      </c>
      <c r="AC113" s="76">
        <f>IF(AQ113="1",BI113,0)</f>
        <v>0</v>
      </c>
      <c r="AD113" s="76">
        <f>IF(AQ113="7",BH113,0)</f>
        <v>0</v>
      </c>
      <c r="AE113" s="76">
        <f>IF(AQ113="7",BI113,0)</f>
        <v>0</v>
      </c>
      <c r="AF113" s="76">
        <f>IF(AQ113="2",BH113,0)</f>
        <v>0</v>
      </c>
      <c r="AG113" s="76">
        <f>IF(AQ113="2",BI113,0)</f>
        <v>0</v>
      </c>
      <c r="AH113" s="76">
        <f>IF(AQ113="0",BJ113,0)</f>
        <v>0</v>
      </c>
      <c r="AI113" s="72"/>
      <c r="AJ113" s="51">
        <f>IF(AN113=0,K113,0)</f>
        <v>0</v>
      </c>
      <c r="AK113" s="51">
        <f>IF(AN113=15,K113,0)</f>
        <v>0</v>
      </c>
      <c r="AL113" s="51">
        <f>IF(AN113=21,K113,0)</f>
        <v>0</v>
      </c>
      <c r="AN113" s="76">
        <v>21</v>
      </c>
      <c r="AO113" s="76">
        <f>H113*0.87272030651341</f>
        <v>0</v>
      </c>
      <c r="AP113" s="76">
        <f>H113*(1-0.87272030651341)</f>
        <v>0</v>
      </c>
      <c r="AQ113" s="71" t="s">
        <v>7</v>
      </c>
      <c r="AV113" s="76">
        <f>AW113+AX113</f>
        <v>0</v>
      </c>
      <c r="AW113" s="76">
        <f>G113*AO113</f>
        <v>0</v>
      </c>
      <c r="AX113" s="76">
        <f>G113*AP113</f>
        <v>0</v>
      </c>
      <c r="AY113" s="77" t="s">
        <v>415</v>
      </c>
      <c r="AZ113" s="77" t="s">
        <v>427</v>
      </c>
      <c r="BA113" s="72" t="s">
        <v>431</v>
      </c>
      <c r="BC113" s="76">
        <f>AW113+AX113</f>
        <v>0</v>
      </c>
      <c r="BD113" s="76">
        <f>H113/(100-BE113)*100</f>
        <v>0</v>
      </c>
      <c r="BE113" s="76">
        <v>0</v>
      </c>
      <c r="BF113" s="76">
        <f>113</f>
        <v>113</v>
      </c>
      <c r="BH113" s="51">
        <f>G113*AO113</f>
        <v>0</v>
      </c>
      <c r="BI113" s="51">
        <f>G113*AP113</f>
        <v>0</v>
      </c>
      <c r="BJ113" s="51">
        <f>G113*H113</f>
        <v>0</v>
      </c>
    </row>
    <row r="114" spans="1:47" ht="12.75">
      <c r="A114" s="11"/>
      <c r="B114" s="25" t="s">
        <v>63</v>
      </c>
      <c r="C114" s="25" t="s">
        <v>264</v>
      </c>
      <c r="D114" s="44"/>
      <c r="E114" s="44"/>
      <c r="F114" s="11" t="s">
        <v>6</v>
      </c>
      <c r="G114" s="11" t="s">
        <v>6</v>
      </c>
      <c r="H114" s="11" t="s">
        <v>6</v>
      </c>
      <c r="I114" s="79">
        <f>SUM(I115:I117)</f>
        <v>0</v>
      </c>
      <c r="J114" s="79">
        <f>SUM(J115:J117)</f>
        <v>0</v>
      </c>
      <c r="K114" s="79">
        <f>SUM(K115:K117)</f>
        <v>0</v>
      </c>
      <c r="L114" s="72"/>
      <c r="AI114" s="72"/>
      <c r="AS114" s="79">
        <f>SUM(AJ115:AJ117)</f>
        <v>0</v>
      </c>
      <c r="AT114" s="79">
        <f>SUM(AK115:AK117)</f>
        <v>0</v>
      </c>
      <c r="AU114" s="79">
        <f>SUM(AL115:AL117)</f>
        <v>0</v>
      </c>
    </row>
    <row r="115" spans="1:62" ht="12.75">
      <c r="A115" s="10" t="s">
        <v>44</v>
      </c>
      <c r="B115" s="10" t="s">
        <v>122</v>
      </c>
      <c r="C115" s="10" t="s">
        <v>265</v>
      </c>
      <c r="D115" s="41"/>
      <c r="E115" s="41"/>
      <c r="F115" s="10" t="s">
        <v>371</v>
      </c>
      <c r="G115" s="51">
        <v>1915.3</v>
      </c>
      <c r="H115" s="51">
        <v>0</v>
      </c>
      <c r="I115" s="51">
        <f>G115*AO115</f>
        <v>0</v>
      </c>
      <c r="J115" s="51">
        <f>G115*AP115</f>
        <v>0</v>
      </c>
      <c r="K115" s="51">
        <f>G115*H115</f>
        <v>0</v>
      </c>
      <c r="L115" s="71" t="s">
        <v>393</v>
      </c>
      <c r="Z115" s="76">
        <f>IF(AQ115="5",BJ115,0)</f>
        <v>0</v>
      </c>
      <c r="AB115" s="76">
        <f>IF(AQ115="1",BH115,0)</f>
        <v>0</v>
      </c>
      <c r="AC115" s="76">
        <f>IF(AQ115="1",BI115,0)</f>
        <v>0</v>
      </c>
      <c r="AD115" s="76">
        <f>IF(AQ115="7",BH115,0)</f>
        <v>0</v>
      </c>
      <c r="AE115" s="76">
        <f>IF(AQ115="7",BI115,0)</f>
        <v>0</v>
      </c>
      <c r="AF115" s="76">
        <f>IF(AQ115="2",BH115,0)</f>
        <v>0</v>
      </c>
      <c r="AG115" s="76">
        <f>IF(AQ115="2",BI115,0)</f>
        <v>0</v>
      </c>
      <c r="AH115" s="76">
        <f>IF(AQ115="0",BJ115,0)</f>
        <v>0</v>
      </c>
      <c r="AI115" s="72"/>
      <c r="AJ115" s="51">
        <f>IF(AN115=0,K115,0)</f>
        <v>0</v>
      </c>
      <c r="AK115" s="51">
        <f>IF(AN115=15,K115,0)</f>
        <v>0</v>
      </c>
      <c r="AL115" s="51">
        <f>IF(AN115=21,K115,0)</f>
        <v>0</v>
      </c>
      <c r="AN115" s="76">
        <v>21</v>
      </c>
      <c r="AO115" s="76">
        <f>H115*0.929157453793524</f>
        <v>0</v>
      </c>
      <c r="AP115" s="76">
        <f>H115*(1-0.929157453793524)</f>
        <v>0</v>
      </c>
      <c r="AQ115" s="71" t="s">
        <v>7</v>
      </c>
      <c r="AV115" s="76">
        <f>AW115+AX115</f>
        <v>0</v>
      </c>
      <c r="AW115" s="76">
        <f>G115*AO115</f>
        <v>0</v>
      </c>
      <c r="AX115" s="76">
        <f>G115*AP115</f>
        <v>0</v>
      </c>
      <c r="AY115" s="77" t="s">
        <v>416</v>
      </c>
      <c r="AZ115" s="77" t="s">
        <v>427</v>
      </c>
      <c r="BA115" s="72" t="s">
        <v>431</v>
      </c>
      <c r="BC115" s="76">
        <f>AW115+AX115</f>
        <v>0</v>
      </c>
      <c r="BD115" s="76">
        <f>H115/(100-BE115)*100</f>
        <v>0</v>
      </c>
      <c r="BE115" s="76">
        <v>0</v>
      </c>
      <c r="BF115" s="76">
        <f>115</f>
        <v>115</v>
      </c>
      <c r="BH115" s="51">
        <f>G115*AO115</f>
        <v>0</v>
      </c>
      <c r="BI115" s="51">
        <f>G115*AP115</f>
        <v>0</v>
      </c>
      <c r="BJ115" s="51">
        <f>G115*H115</f>
        <v>0</v>
      </c>
    </row>
    <row r="116" spans="3:7" ht="12.75">
      <c r="C116" s="32" t="s">
        <v>266</v>
      </c>
      <c r="D116" s="42"/>
      <c r="E116" s="42"/>
      <c r="G116" s="52">
        <v>1915.3</v>
      </c>
    </row>
    <row r="117" spans="1:62" ht="12.75">
      <c r="A117" s="10" t="s">
        <v>45</v>
      </c>
      <c r="B117" s="10" t="s">
        <v>123</v>
      </c>
      <c r="C117" s="10" t="s">
        <v>267</v>
      </c>
      <c r="D117" s="41"/>
      <c r="E117" s="41"/>
      <c r="F117" s="10" t="s">
        <v>371</v>
      </c>
      <c r="G117" s="51">
        <v>1032.65</v>
      </c>
      <c r="H117" s="51">
        <v>0</v>
      </c>
      <c r="I117" s="51">
        <f>G117*AO117</f>
        <v>0</v>
      </c>
      <c r="J117" s="51">
        <f>G117*AP117</f>
        <v>0</v>
      </c>
      <c r="K117" s="51">
        <f>G117*H117</f>
        <v>0</v>
      </c>
      <c r="L117" s="71" t="s">
        <v>393</v>
      </c>
      <c r="Z117" s="76">
        <f>IF(AQ117="5",BJ117,0)</f>
        <v>0</v>
      </c>
      <c r="AB117" s="76">
        <f>IF(AQ117="1",BH117,0)</f>
        <v>0</v>
      </c>
      <c r="AC117" s="76">
        <f>IF(AQ117="1",BI117,0)</f>
        <v>0</v>
      </c>
      <c r="AD117" s="76">
        <f>IF(AQ117="7",BH117,0)</f>
        <v>0</v>
      </c>
      <c r="AE117" s="76">
        <f>IF(AQ117="7",BI117,0)</f>
        <v>0</v>
      </c>
      <c r="AF117" s="76">
        <f>IF(AQ117="2",BH117,0)</f>
        <v>0</v>
      </c>
      <c r="AG117" s="76">
        <f>IF(AQ117="2",BI117,0)</f>
        <v>0</v>
      </c>
      <c r="AH117" s="76">
        <f>IF(AQ117="0",BJ117,0)</f>
        <v>0</v>
      </c>
      <c r="AI117" s="72"/>
      <c r="AJ117" s="51">
        <f>IF(AN117=0,K117,0)</f>
        <v>0</v>
      </c>
      <c r="AK117" s="51">
        <f>IF(AN117=15,K117,0)</f>
        <v>0</v>
      </c>
      <c r="AL117" s="51">
        <f>IF(AN117=21,K117,0)</f>
        <v>0</v>
      </c>
      <c r="AN117" s="76">
        <v>21</v>
      </c>
      <c r="AO117" s="76">
        <f>H117*0.915494313021904</f>
        <v>0</v>
      </c>
      <c r="AP117" s="76">
        <f>H117*(1-0.915494313021904)</f>
        <v>0</v>
      </c>
      <c r="AQ117" s="71" t="s">
        <v>7</v>
      </c>
      <c r="AV117" s="76">
        <f>AW117+AX117</f>
        <v>0</v>
      </c>
      <c r="AW117" s="76">
        <f>G117*AO117</f>
        <v>0</v>
      </c>
      <c r="AX117" s="76">
        <f>G117*AP117</f>
        <v>0</v>
      </c>
      <c r="AY117" s="77" t="s">
        <v>416</v>
      </c>
      <c r="AZ117" s="77" t="s">
        <v>427</v>
      </c>
      <c r="BA117" s="72" t="s">
        <v>431</v>
      </c>
      <c r="BC117" s="76">
        <f>AW117+AX117</f>
        <v>0</v>
      </c>
      <c r="BD117" s="76">
        <f>H117/(100-BE117)*100</f>
        <v>0</v>
      </c>
      <c r="BE117" s="76">
        <v>0</v>
      </c>
      <c r="BF117" s="76">
        <f>117</f>
        <v>117</v>
      </c>
      <c r="BH117" s="51">
        <f>G117*AO117</f>
        <v>0</v>
      </c>
      <c r="BI117" s="51">
        <f>G117*AP117</f>
        <v>0</v>
      </c>
      <c r="BJ117" s="51">
        <f>G117*H117</f>
        <v>0</v>
      </c>
    </row>
    <row r="118" spans="3:7" ht="12.75">
      <c r="C118" s="32" t="s">
        <v>268</v>
      </c>
      <c r="D118" s="42"/>
      <c r="E118" s="42"/>
      <c r="G118" s="52">
        <v>1020</v>
      </c>
    </row>
    <row r="119" spans="3:7" ht="12.75">
      <c r="C119" s="32" t="s">
        <v>269</v>
      </c>
      <c r="D119" s="42"/>
      <c r="E119" s="42"/>
      <c r="G119" s="52">
        <v>12.65</v>
      </c>
    </row>
    <row r="120" spans="1:47" ht="12.75">
      <c r="A120" s="11"/>
      <c r="B120" s="25" t="s">
        <v>65</v>
      </c>
      <c r="C120" s="25" t="s">
        <v>270</v>
      </c>
      <c r="D120" s="44"/>
      <c r="E120" s="44"/>
      <c r="F120" s="11" t="s">
        <v>6</v>
      </c>
      <c r="G120" s="11" t="s">
        <v>6</v>
      </c>
      <c r="H120" s="11" t="s">
        <v>6</v>
      </c>
      <c r="I120" s="79">
        <f>SUM(I121:I128)</f>
        <v>0</v>
      </c>
      <c r="J120" s="79">
        <f>SUM(J121:J128)</f>
        <v>0</v>
      </c>
      <c r="K120" s="79">
        <f>SUM(K121:K128)</f>
        <v>0</v>
      </c>
      <c r="L120" s="72"/>
      <c r="AI120" s="72"/>
      <c r="AS120" s="79">
        <f>SUM(AJ121:AJ128)</f>
        <v>0</v>
      </c>
      <c r="AT120" s="79">
        <f>SUM(AK121:AK128)</f>
        <v>0</v>
      </c>
      <c r="AU120" s="79">
        <f>SUM(AL121:AL128)</f>
        <v>0</v>
      </c>
    </row>
    <row r="121" spans="1:62" ht="12.75">
      <c r="A121" s="10" t="s">
        <v>46</v>
      </c>
      <c r="B121" s="10" t="s">
        <v>124</v>
      </c>
      <c r="C121" s="10" t="s">
        <v>271</v>
      </c>
      <c r="D121" s="41"/>
      <c r="E121" s="41"/>
      <c r="F121" s="10" t="s">
        <v>371</v>
      </c>
      <c r="G121" s="51">
        <v>41</v>
      </c>
      <c r="H121" s="51">
        <v>0</v>
      </c>
      <c r="I121" s="51">
        <f>G121*AO121</f>
        <v>0</v>
      </c>
      <c r="J121" s="51">
        <f>G121*AP121</f>
        <v>0</v>
      </c>
      <c r="K121" s="51">
        <f>G121*H121</f>
        <v>0</v>
      </c>
      <c r="L121" s="71" t="s">
        <v>393</v>
      </c>
      <c r="Z121" s="76">
        <f>IF(AQ121="5",BJ121,0)</f>
        <v>0</v>
      </c>
      <c r="AB121" s="76">
        <f>IF(AQ121="1",BH121,0)</f>
        <v>0</v>
      </c>
      <c r="AC121" s="76">
        <f>IF(AQ121="1",BI121,0)</f>
        <v>0</v>
      </c>
      <c r="AD121" s="76">
        <f>IF(AQ121="7",BH121,0)</f>
        <v>0</v>
      </c>
      <c r="AE121" s="76">
        <f>IF(AQ121="7",BI121,0)</f>
        <v>0</v>
      </c>
      <c r="AF121" s="76">
        <f>IF(AQ121="2",BH121,0)</f>
        <v>0</v>
      </c>
      <c r="AG121" s="76">
        <f>IF(AQ121="2",BI121,0)</f>
        <v>0</v>
      </c>
      <c r="AH121" s="76">
        <f>IF(AQ121="0",BJ121,0)</f>
        <v>0</v>
      </c>
      <c r="AI121" s="72"/>
      <c r="AJ121" s="51">
        <f>IF(AN121=0,K121,0)</f>
        <v>0</v>
      </c>
      <c r="AK121" s="51">
        <f>IF(AN121=15,K121,0)</f>
        <v>0</v>
      </c>
      <c r="AL121" s="51">
        <f>IF(AN121=21,K121,0)</f>
        <v>0</v>
      </c>
      <c r="AN121" s="76">
        <v>21</v>
      </c>
      <c r="AO121" s="76">
        <f>H121*0.170561797752809</f>
        <v>0</v>
      </c>
      <c r="AP121" s="76">
        <f>H121*(1-0.170561797752809)</f>
        <v>0</v>
      </c>
      <c r="AQ121" s="71" t="s">
        <v>7</v>
      </c>
      <c r="AV121" s="76">
        <f>AW121+AX121</f>
        <v>0</v>
      </c>
      <c r="AW121" s="76">
        <f>G121*AO121</f>
        <v>0</v>
      </c>
      <c r="AX121" s="76">
        <f>G121*AP121</f>
        <v>0</v>
      </c>
      <c r="AY121" s="77" t="s">
        <v>417</v>
      </c>
      <c r="AZ121" s="77" t="s">
        <v>427</v>
      </c>
      <c r="BA121" s="72" t="s">
        <v>431</v>
      </c>
      <c r="BC121" s="76">
        <f>AW121+AX121</f>
        <v>0</v>
      </c>
      <c r="BD121" s="76">
        <f>H121/(100-BE121)*100</f>
        <v>0</v>
      </c>
      <c r="BE121" s="76">
        <v>0</v>
      </c>
      <c r="BF121" s="76">
        <f>121</f>
        <v>121</v>
      </c>
      <c r="BH121" s="51">
        <f>G121*AO121</f>
        <v>0</v>
      </c>
      <c r="BI121" s="51">
        <f>G121*AP121</f>
        <v>0</v>
      </c>
      <c r="BJ121" s="51">
        <f>G121*H121</f>
        <v>0</v>
      </c>
    </row>
    <row r="122" spans="3:7" ht="12.75">
      <c r="C122" s="32" t="s">
        <v>272</v>
      </c>
      <c r="D122" s="42"/>
      <c r="E122" s="42"/>
      <c r="G122" s="52">
        <v>41</v>
      </c>
    </row>
    <row r="123" spans="2:12" ht="25.5" customHeight="1">
      <c r="B123" s="24" t="s">
        <v>85</v>
      </c>
      <c r="C123" s="33" t="s">
        <v>273</v>
      </c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62" ht="12.75">
      <c r="A124" s="12" t="s">
        <v>47</v>
      </c>
      <c r="B124" s="12" t="s">
        <v>125</v>
      </c>
      <c r="C124" s="12" t="s">
        <v>274</v>
      </c>
      <c r="D124" s="45"/>
      <c r="E124" s="45"/>
      <c r="F124" s="12" t="s">
        <v>371</v>
      </c>
      <c r="G124" s="53">
        <v>35.249</v>
      </c>
      <c r="H124" s="53">
        <v>0</v>
      </c>
      <c r="I124" s="53">
        <f>G124*AO124</f>
        <v>0</v>
      </c>
      <c r="J124" s="53">
        <f>G124*AP124</f>
        <v>0</v>
      </c>
      <c r="K124" s="53">
        <f>G124*H124</f>
        <v>0</v>
      </c>
      <c r="L124" s="73" t="s">
        <v>393</v>
      </c>
      <c r="Z124" s="76">
        <f>IF(AQ124="5",BJ124,0)</f>
        <v>0</v>
      </c>
      <c r="AB124" s="76">
        <f>IF(AQ124="1",BH124,0)</f>
        <v>0</v>
      </c>
      <c r="AC124" s="76">
        <f>IF(AQ124="1",BI124,0)</f>
        <v>0</v>
      </c>
      <c r="AD124" s="76">
        <f>IF(AQ124="7",BH124,0)</f>
        <v>0</v>
      </c>
      <c r="AE124" s="76">
        <f>IF(AQ124="7",BI124,0)</f>
        <v>0</v>
      </c>
      <c r="AF124" s="76">
        <f>IF(AQ124="2",BH124,0)</f>
        <v>0</v>
      </c>
      <c r="AG124" s="76">
        <f>IF(AQ124="2",BI124,0)</f>
        <v>0</v>
      </c>
      <c r="AH124" s="76">
        <f>IF(AQ124="0",BJ124,0)</f>
        <v>0</v>
      </c>
      <c r="AI124" s="72"/>
      <c r="AJ124" s="53">
        <f>IF(AN124=0,K124,0)</f>
        <v>0</v>
      </c>
      <c r="AK124" s="53">
        <f>IF(AN124=15,K124,0)</f>
        <v>0</v>
      </c>
      <c r="AL124" s="53">
        <f>IF(AN124=21,K124,0)</f>
        <v>0</v>
      </c>
      <c r="AN124" s="76">
        <v>21</v>
      </c>
      <c r="AO124" s="76">
        <f>H124*1</f>
        <v>0</v>
      </c>
      <c r="AP124" s="76">
        <f>H124*(1-1)</f>
        <v>0</v>
      </c>
      <c r="AQ124" s="73" t="s">
        <v>7</v>
      </c>
      <c r="AV124" s="76">
        <f>AW124+AX124</f>
        <v>0</v>
      </c>
      <c r="AW124" s="76">
        <f>G124*AO124</f>
        <v>0</v>
      </c>
      <c r="AX124" s="76">
        <f>G124*AP124</f>
        <v>0</v>
      </c>
      <c r="AY124" s="77" t="s">
        <v>417</v>
      </c>
      <c r="AZ124" s="77" t="s">
        <v>427</v>
      </c>
      <c r="BA124" s="72" t="s">
        <v>431</v>
      </c>
      <c r="BC124" s="76">
        <f>AW124+AX124</f>
        <v>0</v>
      </c>
      <c r="BD124" s="76">
        <f>H124/(100-BE124)*100</f>
        <v>0</v>
      </c>
      <c r="BE124" s="76">
        <v>0</v>
      </c>
      <c r="BF124" s="76">
        <f>124</f>
        <v>124</v>
      </c>
      <c r="BH124" s="53">
        <f>G124*AO124</f>
        <v>0</v>
      </c>
      <c r="BI124" s="53">
        <f>G124*AP124</f>
        <v>0</v>
      </c>
      <c r="BJ124" s="53">
        <f>G124*H124</f>
        <v>0</v>
      </c>
    </row>
    <row r="125" spans="3:7" ht="12.75">
      <c r="C125" s="32" t="s">
        <v>275</v>
      </c>
      <c r="D125" s="42"/>
      <c r="E125" s="42"/>
      <c r="G125" s="52">
        <v>34.9</v>
      </c>
    </row>
    <row r="126" spans="3:7" ht="12.75">
      <c r="C126" s="32" t="s">
        <v>276</v>
      </c>
      <c r="D126" s="42"/>
      <c r="E126" s="42"/>
      <c r="G126" s="52">
        <v>0.349</v>
      </c>
    </row>
    <row r="127" spans="2:12" ht="12.75">
      <c r="B127" s="24" t="s">
        <v>85</v>
      </c>
      <c r="C127" s="33" t="s">
        <v>277</v>
      </c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62" ht="12.75">
      <c r="A128" s="12" t="s">
        <v>48</v>
      </c>
      <c r="B128" s="12" t="s">
        <v>126</v>
      </c>
      <c r="C128" s="12" t="s">
        <v>278</v>
      </c>
      <c r="D128" s="45"/>
      <c r="E128" s="45"/>
      <c r="F128" s="12" t="s">
        <v>371</v>
      </c>
      <c r="G128" s="53">
        <v>6.161</v>
      </c>
      <c r="H128" s="53">
        <v>0</v>
      </c>
      <c r="I128" s="53">
        <f>G128*AO128</f>
        <v>0</v>
      </c>
      <c r="J128" s="53">
        <f>G128*AP128</f>
        <v>0</v>
      </c>
      <c r="K128" s="53">
        <f>G128*H128</f>
        <v>0</v>
      </c>
      <c r="L128" s="73" t="s">
        <v>393</v>
      </c>
      <c r="Z128" s="76">
        <f>IF(AQ128="5",BJ128,0)</f>
        <v>0</v>
      </c>
      <c r="AB128" s="76">
        <f>IF(AQ128="1",BH128,0)</f>
        <v>0</v>
      </c>
      <c r="AC128" s="76">
        <f>IF(AQ128="1",BI128,0)</f>
        <v>0</v>
      </c>
      <c r="AD128" s="76">
        <f>IF(AQ128="7",BH128,0)</f>
        <v>0</v>
      </c>
      <c r="AE128" s="76">
        <f>IF(AQ128="7",BI128,0)</f>
        <v>0</v>
      </c>
      <c r="AF128" s="76">
        <f>IF(AQ128="2",BH128,0)</f>
        <v>0</v>
      </c>
      <c r="AG128" s="76">
        <f>IF(AQ128="2",BI128,0)</f>
        <v>0</v>
      </c>
      <c r="AH128" s="76">
        <f>IF(AQ128="0",BJ128,0)</f>
        <v>0</v>
      </c>
      <c r="AI128" s="72"/>
      <c r="AJ128" s="53">
        <f>IF(AN128=0,K128,0)</f>
        <v>0</v>
      </c>
      <c r="AK128" s="53">
        <f>IF(AN128=15,K128,0)</f>
        <v>0</v>
      </c>
      <c r="AL128" s="53">
        <f>IF(AN128=21,K128,0)</f>
        <v>0</v>
      </c>
      <c r="AN128" s="76">
        <v>21</v>
      </c>
      <c r="AO128" s="76">
        <f>H128*1</f>
        <v>0</v>
      </c>
      <c r="AP128" s="76">
        <f>H128*(1-1)</f>
        <v>0</v>
      </c>
      <c r="AQ128" s="73" t="s">
        <v>7</v>
      </c>
      <c r="AV128" s="76">
        <f>AW128+AX128</f>
        <v>0</v>
      </c>
      <c r="AW128" s="76">
        <f>G128*AO128</f>
        <v>0</v>
      </c>
      <c r="AX128" s="76">
        <f>G128*AP128</f>
        <v>0</v>
      </c>
      <c r="AY128" s="77" t="s">
        <v>417</v>
      </c>
      <c r="AZ128" s="77" t="s">
        <v>427</v>
      </c>
      <c r="BA128" s="72" t="s">
        <v>431</v>
      </c>
      <c r="BC128" s="76">
        <f>AW128+AX128</f>
        <v>0</v>
      </c>
      <c r="BD128" s="76">
        <f>H128/(100-BE128)*100</f>
        <v>0</v>
      </c>
      <c r="BE128" s="76">
        <v>0</v>
      </c>
      <c r="BF128" s="76">
        <f>128</f>
        <v>128</v>
      </c>
      <c r="BH128" s="53">
        <f>G128*AO128</f>
        <v>0</v>
      </c>
      <c r="BI128" s="53">
        <f>G128*AP128</f>
        <v>0</v>
      </c>
      <c r="BJ128" s="53">
        <f>G128*H128</f>
        <v>0</v>
      </c>
    </row>
    <row r="129" spans="3:7" ht="12.75">
      <c r="C129" s="32" t="s">
        <v>279</v>
      </c>
      <c r="D129" s="42"/>
      <c r="E129" s="42"/>
      <c r="G129" s="52">
        <v>6.1</v>
      </c>
    </row>
    <row r="130" spans="3:7" ht="12.75">
      <c r="C130" s="32" t="s">
        <v>280</v>
      </c>
      <c r="D130" s="42"/>
      <c r="E130" s="42"/>
      <c r="G130" s="52">
        <v>0.061</v>
      </c>
    </row>
    <row r="131" spans="2:12" ht="38.25" customHeight="1">
      <c r="B131" s="24" t="s">
        <v>85</v>
      </c>
      <c r="C131" s="33" t="s">
        <v>281</v>
      </c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47" ht="12.75">
      <c r="A132" s="11"/>
      <c r="B132" s="25" t="s">
        <v>127</v>
      </c>
      <c r="C132" s="25" t="s">
        <v>282</v>
      </c>
      <c r="D132" s="44"/>
      <c r="E132" s="44"/>
      <c r="F132" s="11" t="s">
        <v>6</v>
      </c>
      <c r="G132" s="11" t="s">
        <v>6</v>
      </c>
      <c r="H132" s="11" t="s">
        <v>6</v>
      </c>
      <c r="I132" s="79">
        <f>SUM(I133:I141)</f>
        <v>0</v>
      </c>
      <c r="J132" s="79">
        <f>SUM(J133:J141)</f>
        <v>0</v>
      </c>
      <c r="K132" s="79">
        <f>SUM(K133:K141)</f>
        <v>0</v>
      </c>
      <c r="L132" s="72"/>
      <c r="AI132" s="72"/>
      <c r="AS132" s="79">
        <f>SUM(AJ133:AJ141)</f>
        <v>0</v>
      </c>
      <c r="AT132" s="79">
        <f>SUM(AK133:AK141)</f>
        <v>0</v>
      </c>
      <c r="AU132" s="79">
        <f>SUM(AL133:AL141)</f>
        <v>0</v>
      </c>
    </row>
    <row r="133" spans="1:62" ht="12.75">
      <c r="A133" s="10" t="s">
        <v>49</v>
      </c>
      <c r="B133" s="10" t="s">
        <v>128</v>
      </c>
      <c r="C133" s="10" t="s">
        <v>283</v>
      </c>
      <c r="D133" s="41"/>
      <c r="E133" s="41"/>
      <c r="F133" s="10" t="s">
        <v>372</v>
      </c>
      <c r="G133" s="51">
        <v>18.4</v>
      </c>
      <c r="H133" s="51">
        <v>0</v>
      </c>
      <c r="I133" s="51">
        <f>G133*AO133</f>
        <v>0</v>
      </c>
      <c r="J133" s="51">
        <f>G133*AP133</f>
        <v>0</v>
      </c>
      <c r="K133" s="51">
        <f>G133*H133</f>
        <v>0</v>
      </c>
      <c r="L133" s="71" t="s">
        <v>393</v>
      </c>
      <c r="Z133" s="76">
        <f>IF(AQ133="5",BJ133,0)</f>
        <v>0</v>
      </c>
      <c r="AB133" s="76">
        <f>IF(AQ133="1",BH133,0)</f>
        <v>0</v>
      </c>
      <c r="AC133" s="76">
        <f>IF(AQ133="1",BI133,0)</f>
        <v>0</v>
      </c>
      <c r="AD133" s="76">
        <f>IF(AQ133="7",BH133,0)</f>
        <v>0</v>
      </c>
      <c r="AE133" s="76">
        <f>IF(AQ133="7",BI133,0)</f>
        <v>0</v>
      </c>
      <c r="AF133" s="76">
        <f>IF(AQ133="2",BH133,0)</f>
        <v>0</v>
      </c>
      <c r="AG133" s="76">
        <f>IF(AQ133="2",BI133,0)</f>
        <v>0</v>
      </c>
      <c r="AH133" s="76">
        <f>IF(AQ133="0",BJ133,0)</f>
        <v>0</v>
      </c>
      <c r="AI133" s="72"/>
      <c r="AJ133" s="51">
        <f>IF(AN133=0,K133,0)</f>
        <v>0</v>
      </c>
      <c r="AK133" s="51">
        <f>IF(AN133=15,K133,0)</f>
        <v>0</v>
      </c>
      <c r="AL133" s="51">
        <f>IF(AN133=21,K133,0)</f>
        <v>0</v>
      </c>
      <c r="AN133" s="76">
        <v>21</v>
      </c>
      <c r="AO133" s="76">
        <f>H133*0.00490706319702602</f>
        <v>0</v>
      </c>
      <c r="AP133" s="76">
        <f>H133*(1-0.00490706319702602)</f>
        <v>0</v>
      </c>
      <c r="AQ133" s="71" t="s">
        <v>7</v>
      </c>
      <c r="AV133" s="76">
        <f>AW133+AX133</f>
        <v>0</v>
      </c>
      <c r="AW133" s="76">
        <f>G133*AO133</f>
        <v>0</v>
      </c>
      <c r="AX133" s="76">
        <f>G133*AP133</f>
        <v>0</v>
      </c>
      <c r="AY133" s="77" t="s">
        <v>418</v>
      </c>
      <c r="AZ133" s="77" t="s">
        <v>428</v>
      </c>
      <c r="BA133" s="72" t="s">
        <v>431</v>
      </c>
      <c r="BC133" s="76">
        <f>AW133+AX133</f>
        <v>0</v>
      </c>
      <c r="BD133" s="76">
        <f>H133/(100-BE133)*100</f>
        <v>0</v>
      </c>
      <c r="BE133" s="76">
        <v>0</v>
      </c>
      <c r="BF133" s="76">
        <f>133</f>
        <v>133</v>
      </c>
      <c r="BH133" s="51">
        <f>G133*AO133</f>
        <v>0</v>
      </c>
      <c r="BI133" s="51">
        <f>G133*AP133</f>
        <v>0</v>
      </c>
      <c r="BJ133" s="51">
        <f>G133*H133</f>
        <v>0</v>
      </c>
    </row>
    <row r="134" spans="3:7" ht="12.75">
      <c r="C134" s="32" t="s">
        <v>284</v>
      </c>
      <c r="D134" s="42"/>
      <c r="E134" s="42"/>
      <c r="G134" s="52">
        <v>15.2</v>
      </c>
    </row>
    <row r="135" spans="3:7" ht="12.75">
      <c r="C135" s="32" t="s">
        <v>285</v>
      </c>
      <c r="D135" s="42"/>
      <c r="E135" s="42"/>
      <c r="G135" s="52">
        <v>3.2</v>
      </c>
    </row>
    <row r="136" spans="2:12" ht="25.5" customHeight="1">
      <c r="B136" s="24" t="s">
        <v>85</v>
      </c>
      <c r="C136" s="33" t="s">
        <v>286</v>
      </c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62" ht="12.75">
      <c r="A137" s="12" t="s">
        <v>50</v>
      </c>
      <c r="B137" s="12" t="s">
        <v>129</v>
      </c>
      <c r="C137" s="12" t="s">
        <v>287</v>
      </c>
      <c r="D137" s="45"/>
      <c r="E137" s="45"/>
      <c r="F137" s="12" t="s">
        <v>372</v>
      </c>
      <c r="G137" s="53">
        <v>18.676</v>
      </c>
      <c r="H137" s="53">
        <v>0</v>
      </c>
      <c r="I137" s="53">
        <f>G137*AO137</f>
        <v>0</v>
      </c>
      <c r="J137" s="53">
        <f>G137*AP137</f>
        <v>0</v>
      </c>
      <c r="K137" s="53">
        <f>G137*H137</f>
        <v>0</v>
      </c>
      <c r="L137" s="73" t="s">
        <v>393</v>
      </c>
      <c r="Z137" s="76">
        <f>IF(AQ137="5",BJ137,0)</f>
        <v>0</v>
      </c>
      <c r="AB137" s="76">
        <f>IF(AQ137="1",BH137,0)</f>
        <v>0</v>
      </c>
      <c r="AC137" s="76">
        <f>IF(AQ137="1",BI137,0)</f>
        <v>0</v>
      </c>
      <c r="AD137" s="76">
        <f>IF(AQ137="7",BH137,0)</f>
        <v>0</v>
      </c>
      <c r="AE137" s="76">
        <f>IF(AQ137="7",BI137,0)</f>
        <v>0</v>
      </c>
      <c r="AF137" s="76">
        <f>IF(AQ137="2",BH137,0)</f>
        <v>0</v>
      </c>
      <c r="AG137" s="76">
        <f>IF(AQ137="2",BI137,0)</f>
        <v>0</v>
      </c>
      <c r="AH137" s="76">
        <f>IF(AQ137="0",BJ137,0)</f>
        <v>0</v>
      </c>
      <c r="AI137" s="72"/>
      <c r="AJ137" s="53">
        <f>IF(AN137=0,K137,0)</f>
        <v>0</v>
      </c>
      <c r="AK137" s="53">
        <f>IF(AN137=15,K137,0)</f>
        <v>0</v>
      </c>
      <c r="AL137" s="53">
        <f>IF(AN137=21,K137,0)</f>
        <v>0</v>
      </c>
      <c r="AN137" s="76">
        <v>21</v>
      </c>
      <c r="AO137" s="76">
        <f>H137*1</f>
        <v>0</v>
      </c>
      <c r="AP137" s="76">
        <f>H137*(1-1)</f>
        <v>0</v>
      </c>
      <c r="AQ137" s="73" t="s">
        <v>7</v>
      </c>
      <c r="AV137" s="76">
        <f>AW137+AX137</f>
        <v>0</v>
      </c>
      <c r="AW137" s="76">
        <f>G137*AO137</f>
        <v>0</v>
      </c>
      <c r="AX137" s="76">
        <f>G137*AP137</f>
        <v>0</v>
      </c>
      <c r="AY137" s="77" t="s">
        <v>418</v>
      </c>
      <c r="AZ137" s="77" t="s">
        <v>428</v>
      </c>
      <c r="BA137" s="72" t="s">
        <v>431</v>
      </c>
      <c r="BC137" s="76">
        <f>AW137+AX137</f>
        <v>0</v>
      </c>
      <c r="BD137" s="76">
        <f>H137/(100-BE137)*100</f>
        <v>0</v>
      </c>
      <c r="BE137" s="76">
        <v>0</v>
      </c>
      <c r="BF137" s="76">
        <f>137</f>
        <v>137</v>
      </c>
      <c r="BH137" s="53">
        <f>G137*AO137</f>
        <v>0</v>
      </c>
      <c r="BI137" s="53">
        <f>G137*AP137</f>
        <v>0</v>
      </c>
      <c r="BJ137" s="53">
        <f>G137*H137</f>
        <v>0</v>
      </c>
    </row>
    <row r="138" spans="3:7" ht="12.75">
      <c r="C138" s="32" t="s">
        <v>288</v>
      </c>
      <c r="D138" s="42"/>
      <c r="E138" s="42"/>
      <c r="G138" s="52">
        <v>18.4</v>
      </c>
    </row>
    <row r="139" spans="3:7" ht="12.75">
      <c r="C139" s="32" t="s">
        <v>289</v>
      </c>
      <c r="D139" s="42"/>
      <c r="E139" s="42"/>
      <c r="G139" s="52">
        <v>0.276</v>
      </c>
    </row>
    <row r="140" spans="2:12" ht="12.75">
      <c r="B140" s="24" t="s">
        <v>85</v>
      </c>
      <c r="C140" s="33" t="s">
        <v>290</v>
      </c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62" ht="12.75">
      <c r="A141" s="12" t="s">
        <v>51</v>
      </c>
      <c r="B141" s="12" t="s">
        <v>130</v>
      </c>
      <c r="C141" s="12" t="s">
        <v>291</v>
      </c>
      <c r="D141" s="45"/>
      <c r="E141" s="45"/>
      <c r="F141" s="12" t="s">
        <v>374</v>
      </c>
      <c r="G141" s="53">
        <v>8.12</v>
      </c>
      <c r="H141" s="53">
        <v>0</v>
      </c>
      <c r="I141" s="53">
        <f>G141*AO141</f>
        <v>0</v>
      </c>
      <c r="J141" s="53">
        <f>G141*AP141</f>
        <v>0</v>
      </c>
      <c r="K141" s="53">
        <f>G141*H141</f>
        <v>0</v>
      </c>
      <c r="L141" s="73" t="s">
        <v>393</v>
      </c>
      <c r="Z141" s="76">
        <f>IF(AQ141="5",BJ141,0)</f>
        <v>0</v>
      </c>
      <c r="AB141" s="76">
        <f>IF(AQ141="1",BH141,0)</f>
        <v>0</v>
      </c>
      <c r="AC141" s="76">
        <f>IF(AQ141="1",BI141,0)</f>
        <v>0</v>
      </c>
      <c r="AD141" s="76">
        <f>IF(AQ141="7",BH141,0)</f>
        <v>0</v>
      </c>
      <c r="AE141" s="76">
        <f>IF(AQ141="7",BI141,0)</f>
        <v>0</v>
      </c>
      <c r="AF141" s="76">
        <f>IF(AQ141="2",BH141,0)</f>
        <v>0</v>
      </c>
      <c r="AG141" s="76">
        <f>IF(AQ141="2",BI141,0)</f>
        <v>0</v>
      </c>
      <c r="AH141" s="76">
        <f>IF(AQ141="0",BJ141,0)</f>
        <v>0</v>
      </c>
      <c r="AI141" s="72"/>
      <c r="AJ141" s="53">
        <f>IF(AN141=0,K141,0)</f>
        <v>0</v>
      </c>
      <c r="AK141" s="53">
        <f>IF(AN141=15,K141,0)</f>
        <v>0</v>
      </c>
      <c r="AL141" s="53">
        <f>IF(AN141=21,K141,0)</f>
        <v>0</v>
      </c>
      <c r="AN141" s="76">
        <v>21</v>
      </c>
      <c r="AO141" s="76">
        <f>H141*1</f>
        <v>0</v>
      </c>
      <c r="AP141" s="76">
        <f>H141*(1-1)</f>
        <v>0</v>
      </c>
      <c r="AQ141" s="73" t="s">
        <v>7</v>
      </c>
      <c r="AV141" s="76">
        <f>AW141+AX141</f>
        <v>0</v>
      </c>
      <c r="AW141" s="76">
        <f>G141*AO141</f>
        <v>0</v>
      </c>
      <c r="AX141" s="76">
        <f>G141*AP141</f>
        <v>0</v>
      </c>
      <c r="AY141" s="77" t="s">
        <v>418</v>
      </c>
      <c r="AZ141" s="77" t="s">
        <v>428</v>
      </c>
      <c r="BA141" s="72" t="s">
        <v>431</v>
      </c>
      <c r="BC141" s="76">
        <f>AW141+AX141</f>
        <v>0</v>
      </c>
      <c r="BD141" s="76">
        <f>H141/(100-BE141)*100</f>
        <v>0</v>
      </c>
      <c r="BE141" s="76">
        <v>0</v>
      </c>
      <c r="BF141" s="76">
        <f>141</f>
        <v>141</v>
      </c>
      <c r="BH141" s="53">
        <f>G141*AO141</f>
        <v>0</v>
      </c>
      <c r="BI141" s="53">
        <f>G141*AP141</f>
        <v>0</v>
      </c>
      <c r="BJ141" s="53">
        <f>G141*H141</f>
        <v>0</v>
      </c>
    </row>
    <row r="142" spans="3:7" ht="12.75">
      <c r="C142" s="32" t="s">
        <v>292</v>
      </c>
      <c r="D142" s="42"/>
      <c r="E142" s="42"/>
      <c r="G142" s="52">
        <v>8</v>
      </c>
    </row>
    <row r="143" spans="3:7" ht="12.75">
      <c r="C143" s="32" t="s">
        <v>293</v>
      </c>
      <c r="D143" s="42"/>
      <c r="E143" s="42"/>
      <c r="G143" s="52">
        <v>0.12</v>
      </c>
    </row>
    <row r="144" spans="1:47" ht="12.75">
      <c r="A144" s="11"/>
      <c r="B144" s="25" t="s">
        <v>131</v>
      </c>
      <c r="C144" s="25" t="s">
        <v>294</v>
      </c>
      <c r="D144" s="44"/>
      <c r="E144" s="44"/>
      <c r="F144" s="11" t="s">
        <v>6</v>
      </c>
      <c r="G144" s="11" t="s">
        <v>6</v>
      </c>
      <c r="H144" s="11" t="s">
        <v>6</v>
      </c>
      <c r="I144" s="79">
        <f>SUM(I145:I159)</f>
        <v>0</v>
      </c>
      <c r="J144" s="79">
        <f>SUM(J145:J159)</f>
        <v>0</v>
      </c>
      <c r="K144" s="79">
        <f>SUM(K145:K159)</f>
        <v>0</v>
      </c>
      <c r="L144" s="72"/>
      <c r="AI144" s="72"/>
      <c r="AS144" s="79">
        <f>SUM(AJ145:AJ159)</f>
        <v>0</v>
      </c>
      <c r="AT144" s="79">
        <f>SUM(AK145:AK159)</f>
        <v>0</v>
      </c>
      <c r="AU144" s="79">
        <f>SUM(AL145:AL159)</f>
        <v>0</v>
      </c>
    </row>
    <row r="145" spans="1:62" ht="12.75">
      <c r="A145" s="10" t="s">
        <v>52</v>
      </c>
      <c r="B145" s="10" t="s">
        <v>132</v>
      </c>
      <c r="C145" s="10" t="s">
        <v>295</v>
      </c>
      <c r="D145" s="41"/>
      <c r="E145" s="41"/>
      <c r="F145" s="10" t="s">
        <v>374</v>
      </c>
      <c r="G145" s="51">
        <v>4</v>
      </c>
      <c r="H145" s="51">
        <v>0</v>
      </c>
      <c r="I145" s="51">
        <f>G145*AO145</f>
        <v>0</v>
      </c>
      <c r="J145" s="51">
        <f>G145*AP145</f>
        <v>0</v>
      </c>
      <c r="K145" s="51">
        <f>G145*H145</f>
        <v>0</v>
      </c>
      <c r="L145" s="71" t="s">
        <v>393</v>
      </c>
      <c r="Z145" s="76">
        <f>IF(AQ145="5",BJ145,0)</f>
        <v>0</v>
      </c>
      <c r="AB145" s="76">
        <f>IF(AQ145="1",BH145,0)</f>
        <v>0</v>
      </c>
      <c r="AC145" s="76">
        <f>IF(AQ145="1",BI145,0)</f>
        <v>0</v>
      </c>
      <c r="AD145" s="76">
        <f>IF(AQ145="7",BH145,0)</f>
        <v>0</v>
      </c>
      <c r="AE145" s="76">
        <f>IF(AQ145="7",BI145,0)</f>
        <v>0</v>
      </c>
      <c r="AF145" s="76">
        <f>IF(AQ145="2",BH145,0)</f>
        <v>0</v>
      </c>
      <c r="AG145" s="76">
        <f>IF(AQ145="2",BI145,0)</f>
        <v>0</v>
      </c>
      <c r="AH145" s="76">
        <f>IF(AQ145="0",BJ145,0)</f>
        <v>0</v>
      </c>
      <c r="AI145" s="72"/>
      <c r="AJ145" s="51">
        <f>IF(AN145=0,K145,0)</f>
        <v>0</v>
      </c>
      <c r="AK145" s="51">
        <f>IF(AN145=15,K145,0)</f>
        <v>0</v>
      </c>
      <c r="AL145" s="51">
        <f>IF(AN145=21,K145,0)</f>
        <v>0</v>
      </c>
      <c r="AN145" s="76">
        <v>21</v>
      </c>
      <c r="AO145" s="76">
        <f>H145*0.770737062937063</f>
        <v>0</v>
      </c>
      <c r="AP145" s="76">
        <f>H145*(1-0.770737062937063)</f>
        <v>0</v>
      </c>
      <c r="AQ145" s="71" t="s">
        <v>7</v>
      </c>
      <c r="AV145" s="76">
        <f>AW145+AX145</f>
        <v>0</v>
      </c>
      <c r="AW145" s="76">
        <f>G145*AO145</f>
        <v>0</v>
      </c>
      <c r="AX145" s="76">
        <f>G145*AP145</f>
        <v>0</v>
      </c>
      <c r="AY145" s="77" t="s">
        <v>419</v>
      </c>
      <c r="AZ145" s="77" t="s">
        <v>428</v>
      </c>
      <c r="BA145" s="72" t="s">
        <v>431</v>
      </c>
      <c r="BC145" s="76">
        <f>AW145+AX145</f>
        <v>0</v>
      </c>
      <c r="BD145" s="76">
        <f>H145/(100-BE145)*100</f>
        <v>0</v>
      </c>
      <c r="BE145" s="76">
        <v>0</v>
      </c>
      <c r="BF145" s="76">
        <f>145</f>
        <v>145</v>
      </c>
      <c r="BH145" s="51">
        <f>G145*AO145</f>
        <v>0</v>
      </c>
      <c r="BI145" s="51">
        <f>G145*AP145</f>
        <v>0</v>
      </c>
      <c r="BJ145" s="51">
        <f>G145*H145</f>
        <v>0</v>
      </c>
    </row>
    <row r="146" spans="3:5" ht="12.75">
      <c r="C146" s="34" t="s">
        <v>296</v>
      </c>
      <c r="D146" s="46"/>
      <c r="E146" s="46"/>
    </row>
    <row r="147" spans="2:12" ht="38.25" customHeight="1">
      <c r="B147" s="24" t="s">
        <v>85</v>
      </c>
      <c r="C147" s="33" t="s">
        <v>297</v>
      </c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62" ht="12.75">
      <c r="A148" s="10" t="s">
        <v>53</v>
      </c>
      <c r="B148" s="10" t="s">
        <v>133</v>
      </c>
      <c r="C148" s="10" t="s">
        <v>298</v>
      </c>
      <c r="D148" s="41"/>
      <c r="E148" s="41"/>
      <c r="F148" s="10" t="s">
        <v>374</v>
      </c>
      <c r="G148" s="51">
        <v>2</v>
      </c>
      <c r="H148" s="51">
        <v>0</v>
      </c>
      <c r="I148" s="51">
        <f>G148*AO148</f>
        <v>0</v>
      </c>
      <c r="J148" s="51">
        <f>G148*AP148</f>
        <v>0</v>
      </c>
      <c r="K148" s="51">
        <f>G148*H148</f>
        <v>0</v>
      </c>
      <c r="L148" s="71" t="s">
        <v>393</v>
      </c>
      <c r="Z148" s="76">
        <f>IF(AQ148="5",BJ148,0)</f>
        <v>0</v>
      </c>
      <c r="AB148" s="76">
        <f>IF(AQ148="1",BH148,0)</f>
        <v>0</v>
      </c>
      <c r="AC148" s="76">
        <f>IF(AQ148="1",BI148,0)</f>
        <v>0</v>
      </c>
      <c r="AD148" s="76">
        <f>IF(AQ148="7",BH148,0)</f>
        <v>0</v>
      </c>
      <c r="AE148" s="76">
        <f>IF(AQ148="7",BI148,0)</f>
        <v>0</v>
      </c>
      <c r="AF148" s="76">
        <f>IF(AQ148="2",BH148,0)</f>
        <v>0</v>
      </c>
      <c r="AG148" s="76">
        <f>IF(AQ148="2",BI148,0)</f>
        <v>0</v>
      </c>
      <c r="AH148" s="76">
        <f>IF(AQ148="0",BJ148,0)</f>
        <v>0</v>
      </c>
      <c r="AI148" s="72"/>
      <c r="AJ148" s="51">
        <f>IF(AN148=0,K148,0)</f>
        <v>0</v>
      </c>
      <c r="AK148" s="51">
        <f>IF(AN148=15,K148,0)</f>
        <v>0</v>
      </c>
      <c r="AL148" s="51">
        <f>IF(AN148=21,K148,0)</f>
        <v>0</v>
      </c>
      <c r="AN148" s="76">
        <v>21</v>
      </c>
      <c r="AO148" s="76">
        <f>H148*0.743472882968601</f>
        <v>0</v>
      </c>
      <c r="AP148" s="76">
        <f>H148*(1-0.743472882968601)</f>
        <v>0</v>
      </c>
      <c r="AQ148" s="71" t="s">
        <v>7</v>
      </c>
      <c r="AV148" s="76">
        <f>AW148+AX148</f>
        <v>0</v>
      </c>
      <c r="AW148" s="76">
        <f>G148*AO148</f>
        <v>0</v>
      </c>
      <c r="AX148" s="76">
        <f>G148*AP148</f>
        <v>0</v>
      </c>
      <c r="AY148" s="77" t="s">
        <v>419</v>
      </c>
      <c r="AZ148" s="77" t="s">
        <v>428</v>
      </c>
      <c r="BA148" s="72" t="s">
        <v>431</v>
      </c>
      <c r="BC148" s="76">
        <f>AW148+AX148</f>
        <v>0</v>
      </c>
      <c r="BD148" s="76">
        <f>H148/(100-BE148)*100</f>
        <v>0</v>
      </c>
      <c r="BE148" s="76">
        <v>0</v>
      </c>
      <c r="BF148" s="76">
        <f>148</f>
        <v>148</v>
      </c>
      <c r="BH148" s="51">
        <f>G148*AO148</f>
        <v>0</v>
      </c>
      <c r="BI148" s="51">
        <f>G148*AP148</f>
        <v>0</v>
      </c>
      <c r="BJ148" s="51">
        <f>G148*H148</f>
        <v>0</v>
      </c>
    </row>
    <row r="149" spans="3:5" ht="12.75">
      <c r="C149" s="34" t="s">
        <v>299</v>
      </c>
      <c r="D149" s="46"/>
      <c r="E149" s="46"/>
    </row>
    <row r="150" spans="2:12" ht="25.5" customHeight="1">
      <c r="B150" s="24" t="s">
        <v>85</v>
      </c>
      <c r="C150" s="33" t="s">
        <v>300</v>
      </c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62" ht="12.75">
      <c r="A151" s="10" t="s">
        <v>54</v>
      </c>
      <c r="B151" s="10" t="s">
        <v>134</v>
      </c>
      <c r="C151" s="10" t="s">
        <v>301</v>
      </c>
      <c r="D151" s="41"/>
      <c r="E151" s="41"/>
      <c r="F151" s="10" t="s">
        <v>374</v>
      </c>
      <c r="G151" s="51">
        <v>2</v>
      </c>
      <c r="H151" s="51">
        <v>0</v>
      </c>
      <c r="I151" s="51">
        <f>G151*AO151</f>
        <v>0</v>
      </c>
      <c r="J151" s="51">
        <f>G151*AP151</f>
        <v>0</v>
      </c>
      <c r="K151" s="51">
        <f>G151*H151</f>
        <v>0</v>
      </c>
      <c r="L151" s="71" t="s">
        <v>393</v>
      </c>
      <c r="Z151" s="76">
        <f>IF(AQ151="5",BJ151,0)</f>
        <v>0</v>
      </c>
      <c r="AB151" s="76">
        <f>IF(AQ151="1",BH151,0)</f>
        <v>0</v>
      </c>
      <c r="AC151" s="76">
        <f>IF(AQ151="1",BI151,0)</f>
        <v>0</v>
      </c>
      <c r="AD151" s="76">
        <f>IF(AQ151="7",BH151,0)</f>
        <v>0</v>
      </c>
      <c r="AE151" s="76">
        <f>IF(AQ151="7",BI151,0)</f>
        <v>0</v>
      </c>
      <c r="AF151" s="76">
        <f>IF(AQ151="2",BH151,0)</f>
        <v>0</v>
      </c>
      <c r="AG151" s="76">
        <f>IF(AQ151="2",BI151,0)</f>
        <v>0</v>
      </c>
      <c r="AH151" s="76">
        <f>IF(AQ151="0",BJ151,0)</f>
        <v>0</v>
      </c>
      <c r="AI151" s="72"/>
      <c r="AJ151" s="51">
        <f>IF(AN151=0,K151,0)</f>
        <v>0</v>
      </c>
      <c r="AK151" s="51">
        <f>IF(AN151=15,K151,0)</f>
        <v>0</v>
      </c>
      <c r="AL151" s="51">
        <f>IF(AN151=21,K151,0)</f>
        <v>0</v>
      </c>
      <c r="AN151" s="76">
        <v>21</v>
      </c>
      <c r="AO151" s="76">
        <f>H151*0.0159997681193026</f>
        <v>0</v>
      </c>
      <c r="AP151" s="76">
        <f>H151*(1-0.0159997681193026)</f>
        <v>0</v>
      </c>
      <c r="AQ151" s="71" t="s">
        <v>7</v>
      </c>
      <c r="AV151" s="76">
        <f>AW151+AX151</f>
        <v>0</v>
      </c>
      <c r="AW151" s="76">
        <f>G151*AO151</f>
        <v>0</v>
      </c>
      <c r="AX151" s="76">
        <f>G151*AP151</f>
        <v>0</v>
      </c>
      <c r="AY151" s="77" t="s">
        <v>419</v>
      </c>
      <c r="AZ151" s="77" t="s">
        <v>428</v>
      </c>
      <c r="BA151" s="72" t="s">
        <v>431</v>
      </c>
      <c r="BC151" s="76">
        <f>AW151+AX151</f>
        <v>0</v>
      </c>
      <c r="BD151" s="76">
        <f>H151/(100-BE151)*100</f>
        <v>0</v>
      </c>
      <c r="BE151" s="76">
        <v>0</v>
      </c>
      <c r="BF151" s="76">
        <f>151</f>
        <v>151</v>
      </c>
      <c r="BH151" s="51">
        <f>G151*AO151</f>
        <v>0</v>
      </c>
      <c r="BI151" s="51">
        <f>G151*AP151</f>
        <v>0</v>
      </c>
      <c r="BJ151" s="51">
        <f>G151*H151</f>
        <v>0</v>
      </c>
    </row>
    <row r="152" spans="2:12" ht="25.5" customHeight="1">
      <c r="B152" s="24" t="s">
        <v>85</v>
      </c>
      <c r="C152" s="33" t="s">
        <v>302</v>
      </c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62" ht="12.75">
      <c r="A153" s="12" t="s">
        <v>55</v>
      </c>
      <c r="B153" s="12" t="s">
        <v>135</v>
      </c>
      <c r="C153" s="12" t="s">
        <v>303</v>
      </c>
      <c r="D153" s="45"/>
      <c r="E153" s="45"/>
      <c r="F153" s="12" t="s">
        <v>374</v>
      </c>
      <c r="G153" s="53">
        <v>2</v>
      </c>
      <c r="H153" s="53">
        <v>0</v>
      </c>
      <c r="I153" s="53">
        <f>G153*AO153</f>
        <v>0</v>
      </c>
      <c r="J153" s="53">
        <f>G153*AP153</f>
        <v>0</v>
      </c>
      <c r="K153" s="53">
        <f>G153*H153</f>
        <v>0</v>
      </c>
      <c r="L153" s="73"/>
      <c r="Z153" s="76">
        <f>IF(AQ153="5",BJ153,0)</f>
        <v>0</v>
      </c>
      <c r="AB153" s="76">
        <f>IF(AQ153="1",BH153,0)</f>
        <v>0</v>
      </c>
      <c r="AC153" s="76">
        <f>IF(AQ153="1",BI153,0)</f>
        <v>0</v>
      </c>
      <c r="AD153" s="76">
        <f>IF(AQ153="7",BH153,0)</f>
        <v>0</v>
      </c>
      <c r="AE153" s="76">
        <f>IF(AQ153="7",BI153,0)</f>
        <v>0</v>
      </c>
      <c r="AF153" s="76">
        <f>IF(AQ153="2",BH153,0)</f>
        <v>0</v>
      </c>
      <c r="AG153" s="76">
        <f>IF(AQ153="2",BI153,0)</f>
        <v>0</v>
      </c>
      <c r="AH153" s="76">
        <f>IF(AQ153="0",BJ153,0)</f>
        <v>0</v>
      </c>
      <c r="AI153" s="72"/>
      <c r="AJ153" s="53">
        <f>IF(AN153=0,K153,0)</f>
        <v>0</v>
      </c>
      <c r="AK153" s="53">
        <f>IF(AN153=15,K153,0)</f>
        <v>0</v>
      </c>
      <c r="AL153" s="53">
        <f>IF(AN153=21,K153,0)</f>
        <v>0</v>
      </c>
      <c r="AN153" s="76">
        <v>21</v>
      </c>
      <c r="AO153" s="76">
        <f>H153*1</f>
        <v>0</v>
      </c>
      <c r="AP153" s="76">
        <f>H153*(1-1)</f>
        <v>0</v>
      </c>
      <c r="AQ153" s="73" t="s">
        <v>7</v>
      </c>
      <c r="AV153" s="76">
        <f>AW153+AX153</f>
        <v>0</v>
      </c>
      <c r="AW153" s="76">
        <f>G153*AO153</f>
        <v>0</v>
      </c>
      <c r="AX153" s="76">
        <f>G153*AP153</f>
        <v>0</v>
      </c>
      <c r="AY153" s="77" t="s">
        <v>419</v>
      </c>
      <c r="AZ153" s="77" t="s">
        <v>428</v>
      </c>
      <c r="BA153" s="72" t="s">
        <v>431</v>
      </c>
      <c r="BC153" s="76">
        <f>AW153+AX153</f>
        <v>0</v>
      </c>
      <c r="BD153" s="76">
        <f>H153/(100-BE153)*100</f>
        <v>0</v>
      </c>
      <c r="BE153" s="76">
        <v>0</v>
      </c>
      <c r="BF153" s="76">
        <f>153</f>
        <v>153</v>
      </c>
      <c r="BH153" s="53">
        <f>G153*AO153</f>
        <v>0</v>
      </c>
      <c r="BI153" s="53">
        <f>G153*AP153</f>
        <v>0</v>
      </c>
      <c r="BJ153" s="53">
        <f>G153*H153</f>
        <v>0</v>
      </c>
    </row>
    <row r="154" spans="1:62" ht="12.75">
      <c r="A154" s="10" t="s">
        <v>56</v>
      </c>
      <c r="B154" s="10" t="s">
        <v>136</v>
      </c>
      <c r="C154" s="10" t="s">
        <v>304</v>
      </c>
      <c r="D154" s="41"/>
      <c r="E154" s="41"/>
      <c r="F154" s="10" t="s">
        <v>373</v>
      </c>
      <c r="G154" s="51">
        <v>6.624</v>
      </c>
      <c r="H154" s="51">
        <v>0</v>
      </c>
      <c r="I154" s="51">
        <f>G154*AO154</f>
        <v>0</v>
      </c>
      <c r="J154" s="51">
        <f>G154*AP154</f>
        <v>0</v>
      </c>
      <c r="K154" s="51">
        <f>G154*H154</f>
        <v>0</v>
      </c>
      <c r="L154" s="71" t="s">
        <v>393</v>
      </c>
      <c r="Z154" s="76">
        <f>IF(AQ154="5",BJ154,0)</f>
        <v>0</v>
      </c>
      <c r="AB154" s="76">
        <f>IF(AQ154="1",BH154,0)</f>
        <v>0</v>
      </c>
      <c r="AC154" s="76">
        <f>IF(AQ154="1",BI154,0)</f>
        <v>0</v>
      </c>
      <c r="AD154" s="76">
        <f>IF(AQ154="7",BH154,0)</f>
        <v>0</v>
      </c>
      <c r="AE154" s="76">
        <f>IF(AQ154="7",BI154,0)</f>
        <v>0</v>
      </c>
      <c r="AF154" s="76">
        <f>IF(AQ154="2",BH154,0)</f>
        <v>0</v>
      </c>
      <c r="AG154" s="76">
        <f>IF(AQ154="2",BI154,0)</f>
        <v>0</v>
      </c>
      <c r="AH154" s="76">
        <f>IF(AQ154="0",BJ154,0)</f>
        <v>0</v>
      </c>
      <c r="AI154" s="72"/>
      <c r="AJ154" s="51">
        <f>IF(AN154=0,K154,0)</f>
        <v>0</v>
      </c>
      <c r="AK154" s="51">
        <f>IF(AN154=15,K154,0)</f>
        <v>0</v>
      </c>
      <c r="AL154" s="51">
        <f>IF(AN154=21,K154,0)</f>
        <v>0</v>
      </c>
      <c r="AN154" s="76">
        <v>21</v>
      </c>
      <c r="AO154" s="76">
        <f>H154*0.839468998400069</f>
        <v>0</v>
      </c>
      <c r="AP154" s="76">
        <f>H154*(1-0.839468998400069)</f>
        <v>0</v>
      </c>
      <c r="AQ154" s="71" t="s">
        <v>7</v>
      </c>
      <c r="AV154" s="76">
        <f>AW154+AX154</f>
        <v>0</v>
      </c>
      <c r="AW154" s="76">
        <f>G154*AO154</f>
        <v>0</v>
      </c>
      <c r="AX154" s="76">
        <f>G154*AP154</f>
        <v>0</v>
      </c>
      <c r="AY154" s="77" t="s">
        <v>419</v>
      </c>
      <c r="AZ154" s="77" t="s">
        <v>428</v>
      </c>
      <c r="BA154" s="72" t="s">
        <v>431</v>
      </c>
      <c r="BC154" s="76">
        <f>AW154+AX154</f>
        <v>0</v>
      </c>
      <c r="BD154" s="76">
        <f>H154/(100-BE154)*100</f>
        <v>0</v>
      </c>
      <c r="BE154" s="76">
        <v>0</v>
      </c>
      <c r="BF154" s="76">
        <f>154</f>
        <v>154</v>
      </c>
      <c r="BH154" s="51">
        <f>G154*AO154</f>
        <v>0</v>
      </c>
      <c r="BI154" s="51">
        <f>G154*AP154</f>
        <v>0</v>
      </c>
      <c r="BJ154" s="51">
        <f>G154*H154</f>
        <v>0</v>
      </c>
    </row>
    <row r="155" spans="3:7" ht="12.75">
      <c r="C155" s="32" t="s">
        <v>305</v>
      </c>
      <c r="D155" s="42"/>
      <c r="E155" s="42"/>
      <c r="G155" s="52">
        <v>6.624</v>
      </c>
    </row>
    <row r="156" spans="2:12" ht="25.5" customHeight="1">
      <c r="B156" s="24" t="s">
        <v>85</v>
      </c>
      <c r="C156" s="33" t="s">
        <v>306</v>
      </c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62" ht="12.75">
      <c r="A157" s="10" t="s">
        <v>57</v>
      </c>
      <c r="B157" s="10" t="s">
        <v>137</v>
      </c>
      <c r="C157" s="10" t="s">
        <v>307</v>
      </c>
      <c r="D157" s="41"/>
      <c r="E157" s="41"/>
      <c r="F157" s="10" t="s">
        <v>374</v>
      </c>
      <c r="G157" s="51">
        <v>6</v>
      </c>
      <c r="H157" s="51">
        <v>0</v>
      </c>
      <c r="I157" s="51">
        <f>G157*AO157</f>
        <v>0</v>
      </c>
      <c r="J157" s="51">
        <f>G157*AP157</f>
        <v>0</v>
      </c>
      <c r="K157" s="51">
        <f>G157*H157</f>
        <v>0</v>
      </c>
      <c r="L157" s="71" t="s">
        <v>394</v>
      </c>
      <c r="Z157" s="76">
        <f>IF(AQ157="5",BJ157,0)</f>
        <v>0</v>
      </c>
      <c r="AB157" s="76">
        <f>IF(AQ157="1",BH157,0)</f>
        <v>0</v>
      </c>
      <c r="AC157" s="76">
        <f>IF(AQ157="1",BI157,0)</f>
        <v>0</v>
      </c>
      <c r="AD157" s="76">
        <f>IF(AQ157="7",BH157,0)</f>
        <v>0</v>
      </c>
      <c r="AE157" s="76">
        <f>IF(AQ157="7",BI157,0)</f>
        <v>0</v>
      </c>
      <c r="AF157" s="76">
        <f>IF(AQ157="2",BH157,0)</f>
        <v>0</v>
      </c>
      <c r="AG157" s="76">
        <f>IF(AQ157="2",BI157,0)</f>
        <v>0</v>
      </c>
      <c r="AH157" s="76">
        <f>IF(AQ157="0",BJ157,0)</f>
        <v>0</v>
      </c>
      <c r="AI157" s="72"/>
      <c r="AJ157" s="51">
        <f>IF(AN157=0,K157,0)</f>
        <v>0</v>
      </c>
      <c r="AK157" s="51">
        <f>IF(AN157=15,K157,0)</f>
        <v>0</v>
      </c>
      <c r="AL157" s="51">
        <f>IF(AN157=21,K157,0)</f>
        <v>0</v>
      </c>
      <c r="AN157" s="76">
        <v>21</v>
      </c>
      <c r="AO157" s="76">
        <f>H157*0.484987489574646</f>
        <v>0</v>
      </c>
      <c r="AP157" s="76">
        <f>H157*(1-0.484987489574646)</f>
        <v>0</v>
      </c>
      <c r="AQ157" s="71" t="s">
        <v>7</v>
      </c>
      <c r="AV157" s="76">
        <f>AW157+AX157</f>
        <v>0</v>
      </c>
      <c r="AW157" s="76">
        <f>G157*AO157</f>
        <v>0</v>
      </c>
      <c r="AX157" s="76">
        <f>G157*AP157</f>
        <v>0</v>
      </c>
      <c r="AY157" s="77" t="s">
        <v>419</v>
      </c>
      <c r="AZ157" s="77" t="s">
        <v>428</v>
      </c>
      <c r="BA157" s="72" t="s">
        <v>431</v>
      </c>
      <c r="BC157" s="76">
        <f>AW157+AX157</f>
        <v>0</v>
      </c>
      <c r="BD157" s="76">
        <f>H157/(100-BE157)*100</f>
        <v>0</v>
      </c>
      <c r="BE157" s="76">
        <v>0</v>
      </c>
      <c r="BF157" s="76">
        <f>157</f>
        <v>157</v>
      </c>
      <c r="BH157" s="51">
        <f>G157*AO157</f>
        <v>0</v>
      </c>
      <c r="BI157" s="51">
        <f>G157*AP157</f>
        <v>0</v>
      </c>
      <c r="BJ157" s="51">
        <f>G157*H157</f>
        <v>0</v>
      </c>
    </row>
    <row r="158" spans="1:62" ht="12.75">
      <c r="A158" s="10" t="s">
        <v>58</v>
      </c>
      <c r="B158" s="10" t="s">
        <v>138</v>
      </c>
      <c r="C158" s="10" t="s">
        <v>308</v>
      </c>
      <c r="D158" s="41"/>
      <c r="E158" s="41"/>
      <c r="F158" s="10" t="s">
        <v>374</v>
      </c>
      <c r="G158" s="51">
        <v>6</v>
      </c>
      <c r="H158" s="51">
        <v>0</v>
      </c>
      <c r="I158" s="51">
        <f>G158*AO158</f>
        <v>0</v>
      </c>
      <c r="J158" s="51">
        <f>G158*AP158</f>
        <v>0</v>
      </c>
      <c r="K158" s="51">
        <f>G158*H158</f>
        <v>0</v>
      </c>
      <c r="L158" s="71" t="s">
        <v>394</v>
      </c>
      <c r="Z158" s="76">
        <f>IF(AQ158="5",BJ158,0)</f>
        <v>0</v>
      </c>
      <c r="AB158" s="76">
        <f>IF(AQ158="1",BH158,0)</f>
        <v>0</v>
      </c>
      <c r="AC158" s="76">
        <f>IF(AQ158="1",BI158,0)</f>
        <v>0</v>
      </c>
      <c r="AD158" s="76">
        <f>IF(AQ158="7",BH158,0)</f>
        <v>0</v>
      </c>
      <c r="AE158" s="76">
        <f>IF(AQ158="7",BI158,0)</f>
        <v>0</v>
      </c>
      <c r="AF158" s="76">
        <f>IF(AQ158="2",BH158,0)</f>
        <v>0</v>
      </c>
      <c r="AG158" s="76">
        <f>IF(AQ158="2",BI158,0)</f>
        <v>0</v>
      </c>
      <c r="AH158" s="76">
        <f>IF(AQ158="0",BJ158,0)</f>
        <v>0</v>
      </c>
      <c r="AI158" s="72"/>
      <c r="AJ158" s="51">
        <f>IF(AN158=0,K158,0)</f>
        <v>0</v>
      </c>
      <c r="AK158" s="51">
        <f>IF(AN158=15,K158,0)</f>
        <v>0</v>
      </c>
      <c r="AL158" s="51">
        <f>IF(AN158=21,K158,0)</f>
        <v>0</v>
      </c>
      <c r="AN158" s="76">
        <v>21</v>
      </c>
      <c r="AO158" s="76">
        <f>H158*0.460227272727273</f>
        <v>0</v>
      </c>
      <c r="AP158" s="76">
        <f>H158*(1-0.460227272727273)</f>
        <v>0</v>
      </c>
      <c r="AQ158" s="71" t="s">
        <v>7</v>
      </c>
      <c r="AV158" s="76">
        <f>AW158+AX158</f>
        <v>0</v>
      </c>
      <c r="AW158" s="76">
        <f>G158*AO158</f>
        <v>0</v>
      </c>
      <c r="AX158" s="76">
        <f>G158*AP158</f>
        <v>0</v>
      </c>
      <c r="AY158" s="77" t="s">
        <v>419</v>
      </c>
      <c r="AZ158" s="77" t="s">
        <v>428</v>
      </c>
      <c r="BA158" s="72" t="s">
        <v>431</v>
      </c>
      <c r="BC158" s="76">
        <f>AW158+AX158</f>
        <v>0</v>
      </c>
      <c r="BD158" s="76">
        <f>H158/(100-BE158)*100</f>
        <v>0</v>
      </c>
      <c r="BE158" s="76">
        <v>0</v>
      </c>
      <c r="BF158" s="76">
        <f>158</f>
        <v>158</v>
      </c>
      <c r="BH158" s="51">
        <f>G158*AO158</f>
        <v>0</v>
      </c>
      <c r="BI158" s="51">
        <f>G158*AP158</f>
        <v>0</v>
      </c>
      <c r="BJ158" s="51">
        <f>G158*H158</f>
        <v>0</v>
      </c>
    </row>
    <row r="159" spans="1:62" ht="12.75">
      <c r="A159" s="10" t="s">
        <v>59</v>
      </c>
      <c r="B159" s="10" t="s">
        <v>139</v>
      </c>
      <c r="C159" s="10" t="s">
        <v>309</v>
      </c>
      <c r="D159" s="41"/>
      <c r="E159" s="41"/>
      <c r="F159" s="10" t="s">
        <v>374</v>
      </c>
      <c r="G159" s="51">
        <v>2</v>
      </c>
      <c r="H159" s="51">
        <v>0</v>
      </c>
      <c r="I159" s="51">
        <f>G159*AO159</f>
        <v>0</v>
      </c>
      <c r="J159" s="51">
        <f>G159*AP159</f>
        <v>0</v>
      </c>
      <c r="K159" s="51">
        <f>G159*H159</f>
        <v>0</v>
      </c>
      <c r="L159" s="71" t="s">
        <v>394</v>
      </c>
      <c r="Z159" s="76">
        <f>IF(AQ159="5",BJ159,0)</f>
        <v>0</v>
      </c>
      <c r="AB159" s="76">
        <f>IF(AQ159="1",BH159,0)</f>
        <v>0</v>
      </c>
      <c r="AC159" s="76">
        <f>IF(AQ159="1",BI159,0)</f>
        <v>0</v>
      </c>
      <c r="AD159" s="76">
        <f>IF(AQ159="7",BH159,0)</f>
        <v>0</v>
      </c>
      <c r="AE159" s="76">
        <f>IF(AQ159="7",BI159,0)</f>
        <v>0</v>
      </c>
      <c r="AF159" s="76">
        <f>IF(AQ159="2",BH159,0)</f>
        <v>0</v>
      </c>
      <c r="AG159" s="76">
        <f>IF(AQ159="2",BI159,0)</f>
        <v>0</v>
      </c>
      <c r="AH159" s="76">
        <f>IF(AQ159="0",BJ159,0)</f>
        <v>0</v>
      </c>
      <c r="AI159" s="72"/>
      <c r="AJ159" s="51">
        <f>IF(AN159=0,K159,0)</f>
        <v>0</v>
      </c>
      <c r="AK159" s="51">
        <f>IF(AN159=15,K159,0)</f>
        <v>0</v>
      </c>
      <c r="AL159" s="51">
        <f>IF(AN159=21,K159,0)</f>
        <v>0</v>
      </c>
      <c r="AN159" s="76">
        <v>21</v>
      </c>
      <c r="AO159" s="76">
        <f>H159*0.327952568678083</f>
        <v>0</v>
      </c>
      <c r="AP159" s="76">
        <f>H159*(1-0.327952568678083)</f>
        <v>0</v>
      </c>
      <c r="AQ159" s="71" t="s">
        <v>7</v>
      </c>
      <c r="AV159" s="76">
        <f>AW159+AX159</f>
        <v>0</v>
      </c>
      <c r="AW159" s="76">
        <f>G159*AO159</f>
        <v>0</v>
      </c>
      <c r="AX159" s="76">
        <f>G159*AP159</f>
        <v>0</v>
      </c>
      <c r="AY159" s="77" t="s">
        <v>419</v>
      </c>
      <c r="AZ159" s="77" t="s">
        <v>428</v>
      </c>
      <c r="BA159" s="72" t="s">
        <v>431</v>
      </c>
      <c r="BC159" s="76">
        <f>AW159+AX159</f>
        <v>0</v>
      </c>
      <c r="BD159" s="76">
        <f>H159/(100-BE159)*100</f>
        <v>0</v>
      </c>
      <c r="BE159" s="76">
        <v>0</v>
      </c>
      <c r="BF159" s="76">
        <f>159</f>
        <v>159</v>
      </c>
      <c r="BH159" s="51">
        <f>G159*AO159</f>
        <v>0</v>
      </c>
      <c r="BI159" s="51">
        <f>G159*AP159</f>
        <v>0</v>
      </c>
      <c r="BJ159" s="51">
        <f>G159*H159</f>
        <v>0</v>
      </c>
    </row>
    <row r="160" spans="1:47" ht="12.75">
      <c r="A160" s="11"/>
      <c r="B160" s="25" t="s">
        <v>140</v>
      </c>
      <c r="C160" s="25" t="s">
        <v>310</v>
      </c>
      <c r="D160" s="44"/>
      <c r="E160" s="44"/>
      <c r="F160" s="11" t="s">
        <v>6</v>
      </c>
      <c r="G160" s="11" t="s">
        <v>6</v>
      </c>
      <c r="H160" s="11" t="s">
        <v>6</v>
      </c>
      <c r="I160" s="79">
        <f>SUM(I161:I161)</f>
        <v>0</v>
      </c>
      <c r="J160" s="79">
        <f>SUM(J161:J161)</f>
        <v>0</v>
      </c>
      <c r="K160" s="79">
        <f>SUM(K161:K161)</f>
        <v>0</v>
      </c>
      <c r="L160" s="72"/>
      <c r="AI160" s="72"/>
      <c r="AS160" s="79">
        <f>SUM(AJ161:AJ161)</f>
        <v>0</v>
      </c>
      <c r="AT160" s="79">
        <f>SUM(AK161:AK161)</f>
        <v>0</v>
      </c>
      <c r="AU160" s="79">
        <f>SUM(AL161:AL161)</f>
        <v>0</v>
      </c>
    </row>
    <row r="161" spans="1:62" ht="12.75">
      <c r="A161" s="10" t="s">
        <v>60</v>
      </c>
      <c r="B161" s="10" t="s">
        <v>141</v>
      </c>
      <c r="C161" s="10" t="s">
        <v>311</v>
      </c>
      <c r="D161" s="41"/>
      <c r="E161" s="41"/>
      <c r="F161" s="10" t="s">
        <v>372</v>
      </c>
      <c r="G161" s="51">
        <v>30</v>
      </c>
      <c r="H161" s="51">
        <v>0</v>
      </c>
      <c r="I161" s="51">
        <f>G161*AO161</f>
        <v>0</v>
      </c>
      <c r="J161" s="51">
        <f>G161*AP161</f>
        <v>0</v>
      </c>
      <c r="K161" s="51">
        <f>G161*H161</f>
        <v>0</v>
      </c>
      <c r="L161" s="71"/>
      <c r="Z161" s="76">
        <f>IF(AQ161="5",BJ161,0)</f>
        <v>0</v>
      </c>
      <c r="AB161" s="76">
        <f>IF(AQ161="1",BH161,0)</f>
        <v>0</v>
      </c>
      <c r="AC161" s="76">
        <f>IF(AQ161="1",BI161,0)</f>
        <v>0</v>
      </c>
      <c r="AD161" s="76">
        <f>IF(AQ161="7",BH161,0)</f>
        <v>0</v>
      </c>
      <c r="AE161" s="76">
        <f>IF(AQ161="7",BI161,0)</f>
        <v>0</v>
      </c>
      <c r="AF161" s="76">
        <f>IF(AQ161="2",BH161,0)</f>
        <v>0</v>
      </c>
      <c r="AG161" s="76">
        <f>IF(AQ161="2",BI161,0)</f>
        <v>0</v>
      </c>
      <c r="AH161" s="76">
        <f>IF(AQ161="0",BJ161,0)</f>
        <v>0</v>
      </c>
      <c r="AI161" s="72"/>
      <c r="AJ161" s="51">
        <f>IF(AN161=0,K161,0)</f>
        <v>0</v>
      </c>
      <c r="AK161" s="51">
        <f>IF(AN161=15,K161,0)</f>
        <v>0</v>
      </c>
      <c r="AL161" s="51">
        <f>IF(AN161=21,K161,0)</f>
        <v>0</v>
      </c>
      <c r="AN161" s="76">
        <v>21</v>
      </c>
      <c r="AO161" s="76">
        <f>H161*0.565217391304348</f>
        <v>0</v>
      </c>
      <c r="AP161" s="76">
        <f>H161*(1-0.565217391304348)</f>
        <v>0</v>
      </c>
      <c r="AQ161" s="71" t="s">
        <v>7</v>
      </c>
      <c r="AV161" s="76">
        <f>AW161+AX161</f>
        <v>0</v>
      </c>
      <c r="AW161" s="76">
        <f>G161*AO161</f>
        <v>0</v>
      </c>
      <c r="AX161" s="76">
        <f>G161*AP161</f>
        <v>0</v>
      </c>
      <c r="AY161" s="77" t="s">
        <v>420</v>
      </c>
      <c r="AZ161" s="77" t="s">
        <v>429</v>
      </c>
      <c r="BA161" s="72" t="s">
        <v>431</v>
      </c>
      <c r="BC161" s="76">
        <f>AW161+AX161</f>
        <v>0</v>
      </c>
      <c r="BD161" s="76">
        <f>H161/(100-BE161)*100</f>
        <v>0</v>
      </c>
      <c r="BE161" s="76">
        <v>0</v>
      </c>
      <c r="BF161" s="76">
        <f>161</f>
        <v>161</v>
      </c>
      <c r="BH161" s="51">
        <f>G161*AO161</f>
        <v>0</v>
      </c>
      <c r="BI161" s="51">
        <f>G161*AP161</f>
        <v>0</v>
      </c>
      <c r="BJ161" s="51">
        <f>G161*H161</f>
        <v>0</v>
      </c>
    </row>
    <row r="162" spans="3:7" ht="12.75">
      <c r="C162" s="32" t="s">
        <v>312</v>
      </c>
      <c r="D162" s="42"/>
      <c r="E162" s="42"/>
      <c r="G162" s="52">
        <v>0</v>
      </c>
    </row>
    <row r="163" spans="1:47" ht="12.75">
      <c r="A163" s="11"/>
      <c r="B163" s="25" t="s">
        <v>142</v>
      </c>
      <c r="C163" s="25" t="s">
        <v>313</v>
      </c>
      <c r="D163" s="44"/>
      <c r="E163" s="44"/>
      <c r="F163" s="11" t="s">
        <v>6</v>
      </c>
      <c r="G163" s="11" t="s">
        <v>6</v>
      </c>
      <c r="H163" s="11" t="s">
        <v>6</v>
      </c>
      <c r="I163" s="79">
        <f>SUM(I164:I190)</f>
        <v>0</v>
      </c>
      <c r="J163" s="79">
        <f>SUM(J164:J190)</f>
        <v>0</v>
      </c>
      <c r="K163" s="79">
        <f>SUM(K164:K190)</f>
        <v>0</v>
      </c>
      <c r="L163" s="72"/>
      <c r="AI163" s="72"/>
      <c r="AS163" s="79">
        <f>SUM(AJ164:AJ190)</f>
        <v>0</v>
      </c>
      <c r="AT163" s="79">
        <f>SUM(AK164:AK190)</f>
        <v>0</v>
      </c>
      <c r="AU163" s="79">
        <f>SUM(AL164:AL190)</f>
        <v>0</v>
      </c>
    </row>
    <row r="164" spans="1:62" ht="12.75">
      <c r="A164" s="10" t="s">
        <v>61</v>
      </c>
      <c r="B164" s="10" t="s">
        <v>143</v>
      </c>
      <c r="C164" s="10" t="s">
        <v>314</v>
      </c>
      <c r="D164" s="41"/>
      <c r="E164" s="41"/>
      <c r="F164" s="10" t="s">
        <v>372</v>
      </c>
      <c r="G164" s="51">
        <v>315</v>
      </c>
      <c r="H164" s="51">
        <v>0</v>
      </c>
      <c r="I164" s="51">
        <f>G164*AO164</f>
        <v>0</v>
      </c>
      <c r="J164" s="51">
        <f>G164*AP164</f>
        <v>0</v>
      </c>
      <c r="K164" s="51">
        <f>G164*H164</f>
        <v>0</v>
      </c>
      <c r="L164" s="71" t="s">
        <v>393</v>
      </c>
      <c r="Z164" s="76">
        <f>IF(AQ164="5",BJ164,0)</f>
        <v>0</v>
      </c>
      <c r="AB164" s="76">
        <f>IF(AQ164="1",BH164,0)</f>
        <v>0</v>
      </c>
      <c r="AC164" s="76">
        <f>IF(AQ164="1",BI164,0)</f>
        <v>0</v>
      </c>
      <c r="AD164" s="76">
        <f>IF(AQ164="7",BH164,0)</f>
        <v>0</v>
      </c>
      <c r="AE164" s="76">
        <f>IF(AQ164="7",BI164,0)</f>
        <v>0</v>
      </c>
      <c r="AF164" s="76">
        <f>IF(AQ164="2",BH164,0)</f>
        <v>0</v>
      </c>
      <c r="AG164" s="76">
        <f>IF(AQ164="2",BI164,0)</f>
        <v>0</v>
      </c>
      <c r="AH164" s="76">
        <f>IF(AQ164="0",BJ164,0)</f>
        <v>0</v>
      </c>
      <c r="AI164" s="72"/>
      <c r="AJ164" s="51">
        <f>IF(AN164=0,K164,0)</f>
        <v>0</v>
      </c>
      <c r="AK164" s="51">
        <f>IF(AN164=15,K164,0)</f>
        <v>0</v>
      </c>
      <c r="AL164" s="51">
        <f>IF(AN164=21,K164,0)</f>
        <v>0</v>
      </c>
      <c r="AN164" s="76">
        <v>21</v>
      </c>
      <c r="AO164" s="76">
        <f>H164*0.579734152155469</f>
        <v>0</v>
      </c>
      <c r="AP164" s="76">
        <f>H164*(1-0.579734152155469)</f>
        <v>0</v>
      </c>
      <c r="AQ164" s="71" t="s">
        <v>7</v>
      </c>
      <c r="AV164" s="76">
        <f>AW164+AX164</f>
        <v>0</v>
      </c>
      <c r="AW164" s="76">
        <f>G164*AO164</f>
        <v>0</v>
      </c>
      <c r="AX164" s="76">
        <f>G164*AP164</f>
        <v>0</v>
      </c>
      <c r="AY164" s="77" t="s">
        <v>421</v>
      </c>
      <c r="AZ164" s="77" t="s">
        <v>429</v>
      </c>
      <c r="BA164" s="72" t="s">
        <v>431</v>
      </c>
      <c r="BC164" s="76">
        <f>AW164+AX164</f>
        <v>0</v>
      </c>
      <c r="BD164" s="76">
        <f>H164/(100-BE164)*100</f>
        <v>0</v>
      </c>
      <c r="BE164" s="76">
        <v>0</v>
      </c>
      <c r="BF164" s="76">
        <f>164</f>
        <v>164</v>
      </c>
      <c r="BH164" s="51">
        <f>G164*AO164</f>
        <v>0</v>
      </c>
      <c r="BI164" s="51">
        <f>G164*AP164</f>
        <v>0</v>
      </c>
      <c r="BJ164" s="51">
        <f>G164*H164</f>
        <v>0</v>
      </c>
    </row>
    <row r="165" spans="3:7" ht="12.75">
      <c r="C165" s="32" t="s">
        <v>315</v>
      </c>
      <c r="D165" s="42"/>
      <c r="E165" s="42"/>
      <c r="G165" s="52">
        <v>272</v>
      </c>
    </row>
    <row r="166" spans="3:7" ht="12.75">
      <c r="C166" s="32" t="s">
        <v>316</v>
      </c>
      <c r="D166" s="42"/>
      <c r="E166" s="42"/>
      <c r="G166" s="52">
        <v>43</v>
      </c>
    </row>
    <row r="167" spans="2:12" ht="12.75">
      <c r="B167" s="24" t="s">
        <v>85</v>
      </c>
      <c r="C167" s="33" t="s">
        <v>317</v>
      </c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62" ht="12.75">
      <c r="A168" s="12" t="s">
        <v>62</v>
      </c>
      <c r="B168" s="12" t="s">
        <v>144</v>
      </c>
      <c r="C168" s="12" t="s">
        <v>318</v>
      </c>
      <c r="D168" s="45"/>
      <c r="E168" s="45"/>
      <c r="F168" s="12" t="s">
        <v>374</v>
      </c>
      <c r="G168" s="53">
        <v>43.43</v>
      </c>
      <c r="H168" s="53">
        <v>0</v>
      </c>
      <c r="I168" s="53">
        <f>G168*AO168</f>
        <v>0</v>
      </c>
      <c r="J168" s="53">
        <f>G168*AP168</f>
        <v>0</v>
      </c>
      <c r="K168" s="53">
        <f>G168*H168</f>
        <v>0</v>
      </c>
      <c r="L168" s="73" t="s">
        <v>393</v>
      </c>
      <c r="Z168" s="76">
        <f>IF(AQ168="5",BJ168,0)</f>
        <v>0</v>
      </c>
      <c r="AB168" s="76">
        <f>IF(AQ168="1",BH168,0)</f>
        <v>0</v>
      </c>
      <c r="AC168" s="76">
        <f>IF(AQ168="1",BI168,0)</f>
        <v>0</v>
      </c>
      <c r="AD168" s="76">
        <f>IF(AQ168="7",BH168,0)</f>
        <v>0</v>
      </c>
      <c r="AE168" s="76">
        <f>IF(AQ168="7",BI168,0)</f>
        <v>0</v>
      </c>
      <c r="AF168" s="76">
        <f>IF(AQ168="2",BH168,0)</f>
        <v>0</v>
      </c>
      <c r="AG168" s="76">
        <f>IF(AQ168="2",BI168,0)</f>
        <v>0</v>
      </c>
      <c r="AH168" s="76">
        <f>IF(AQ168="0",BJ168,0)</f>
        <v>0</v>
      </c>
      <c r="AI168" s="72"/>
      <c r="AJ168" s="53">
        <f>IF(AN168=0,K168,0)</f>
        <v>0</v>
      </c>
      <c r="AK168" s="53">
        <f>IF(AN168=15,K168,0)</f>
        <v>0</v>
      </c>
      <c r="AL168" s="53">
        <f>IF(AN168=21,K168,0)</f>
        <v>0</v>
      </c>
      <c r="AN168" s="76">
        <v>21</v>
      </c>
      <c r="AO168" s="76">
        <f>H168*1</f>
        <v>0</v>
      </c>
      <c r="AP168" s="76">
        <f>H168*(1-1)</f>
        <v>0</v>
      </c>
      <c r="AQ168" s="73" t="s">
        <v>7</v>
      </c>
      <c r="AV168" s="76">
        <f>AW168+AX168</f>
        <v>0</v>
      </c>
      <c r="AW168" s="76">
        <f>G168*AO168</f>
        <v>0</v>
      </c>
      <c r="AX168" s="76">
        <f>G168*AP168</f>
        <v>0</v>
      </c>
      <c r="AY168" s="77" t="s">
        <v>421</v>
      </c>
      <c r="AZ168" s="77" t="s">
        <v>429</v>
      </c>
      <c r="BA168" s="72" t="s">
        <v>431</v>
      </c>
      <c r="BC168" s="76">
        <f>AW168+AX168</f>
        <v>0</v>
      </c>
      <c r="BD168" s="76">
        <f>H168/(100-BE168)*100</f>
        <v>0</v>
      </c>
      <c r="BE168" s="76">
        <v>0</v>
      </c>
      <c r="BF168" s="76">
        <f>168</f>
        <v>168</v>
      </c>
      <c r="BH168" s="53">
        <f>G168*AO168</f>
        <v>0</v>
      </c>
      <c r="BI168" s="53">
        <f>G168*AP168</f>
        <v>0</v>
      </c>
      <c r="BJ168" s="53">
        <f>G168*H168</f>
        <v>0</v>
      </c>
    </row>
    <row r="169" spans="3:7" ht="12.75">
      <c r="C169" s="32" t="s">
        <v>49</v>
      </c>
      <c r="D169" s="42"/>
      <c r="E169" s="42"/>
      <c r="G169" s="52">
        <v>43</v>
      </c>
    </row>
    <row r="170" spans="3:7" ht="12.75">
      <c r="C170" s="32" t="s">
        <v>319</v>
      </c>
      <c r="D170" s="42"/>
      <c r="E170" s="42"/>
      <c r="G170" s="52">
        <v>0.43</v>
      </c>
    </row>
    <row r="171" spans="2:12" ht="12.75">
      <c r="B171" s="24" t="s">
        <v>85</v>
      </c>
      <c r="C171" s="33" t="s">
        <v>320</v>
      </c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62" ht="12.75">
      <c r="A172" s="12" t="s">
        <v>63</v>
      </c>
      <c r="B172" s="12" t="s">
        <v>145</v>
      </c>
      <c r="C172" s="12" t="s">
        <v>321</v>
      </c>
      <c r="D172" s="45"/>
      <c r="E172" s="45"/>
      <c r="F172" s="12" t="s">
        <v>374</v>
      </c>
      <c r="G172" s="53">
        <v>274.72</v>
      </c>
      <c r="H172" s="53">
        <v>0</v>
      </c>
      <c r="I172" s="53">
        <f>G172*AO172</f>
        <v>0</v>
      </c>
      <c r="J172" s="53">
        <f>G172*AP172</f>
        <v>0</v>
      </c>
      <c r="K172" s="53">
        <f>G172*H172</f>
        <v>0</v>
      </c>
      <c r="L172" s="73" t="s">
        <v>393</v>
      </c>
      <c r="Z172" s="76">
        <f>IF(AQ172="5",BJ172,0)</f>
        <v>0</v>
      </c>
      <c r="AB172" s="76">
        <f>IF(AQ172="1",BH172,0)</f>
        <v>0</v>
      </c>
      <c r="AC172" s="76">
        <f>IF(AQ172="1",BI172,0)</f>
        <v>0</v>
      </c>
      <c r="AD172" s="76">
        <f>IF(AQ172="7",BH172,0)</f>
        <v>0</v>
      </c>
      <c r="AE172" s="76">
        <f>IF(AQ172="7",BI172,0)</f>
        <v>0</v>
      </c>
      <c r="AF172" s="76">
        <f>IF(AQ172="2",BH172,0)</f>
        <v>0</v>
      </c>
      <c r="AG172" s="76">
        <f>IF(AQ172="2",BI172,0)</f>
        <v>0</v>
      </c>
      <c r="AH172" s="76">
        <f>IF(AQ172="0",BJ172,0)</f>
        <v>0</v>
      </c>
      <c r="AI172" s="72"/>
      <c r="AJ172" s="53">
        <f>IF(AN172=0,K172,0)</f>
        <v>0</v>
      </c>
      <c r="AK172" s="53">
        <f>IF(AN172=15,K172,0)</f>
        <v>0</v>
      </c>
      <c r="AL172" s="53">
        <f>IF(AN172=21,K172,0)</f>
        <v>0</v>
      </c>
      <c r="AN172" s="76">
        <v>21</v>
      </c>
      <c r="AO172" s="76">
        <f>H172*1</f>
        <v>0</v>
      </c>
      <c r="AP172" s="76">
        <f>H172*(1-1)</f>
        <v>0</v>
      </c>
      <c r="AQ172" s="73" t="s">
        <v>7</v>
      </c>
      <c r="AV172" s="76">
        <f>AW172+AX172</f>
        <v>0</v>
      </c>
      <c r="AW172" s="76">
        <f>G172*AO172</f>
        <v>0</v>
      </c>
      <c r="AX172" s="76">
        <f>G172*AP172</f>
        <v>0</v>
      </c>
      <c r="AY172" s="77" t="s">
        <v>421</v>
      </c>
      <c r="AZ172" s="77" t="s">
        <v>429</v>
      </c>
      <c r="BA172" s="72" t="s">
        <v>431</v>
      </c>
      <c r="BC172" s="76">
        <f>AW172+AX172</f>
        <v>0</v>
      </c>
      <c r="BD172" s="76">
        <f>H172/(100-BE172)*100</f>
        <v>0</v>
      </c>
      <c r="BE172" s="76">
        <v>0</v>
      </c>
      <c r="BF172" s="76">
        <f>172</f>
        <v>172</v>
      </c>
      <c r="BH172" s="53">
        <f>G172*AO172</f>
        <v>0</v>
      </c>
      <c r="BI172" s="53">
        <f>G172*AP172</f>
        <v>0</v>
      </c>
      <c r="BJ172" s="53">
        <f>G172*H172</f>
        <v>0</v>
      </c>
    </row>
    <row r="173" spans="3:7" ht="12.75">
      <c r="C173" s="32" t="s">
        <v>322</v>
      </c>
      <c r="D173" s="42"/>
      <c r="E173" s="42"/>
      <c r="G173" s="52">
        <v>272</v>
      </c>
    </row>
    <row r="174" spans="3:7" ht="12.75">
      <c r="C174" s="32" t="s">
        <v>323</v>
      </c>
      <c r="D174" s="42"/>
      <c r="E174" s="42"/>
      <c r="G174" s="52">
        <v>2.72</v>
      </c>
    </row>
    <row r="175" spans="2:12" ht="12.75">
      <c r="B175" s="24" t="s">
        <v>85</v>
      </c>
      <c r="C175" s="33" t="s">
        <v>320</v>
      </c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62" ht="12.75">
      <c r="A176" s="10" t="s">
        <v>64</v>
      </c>
      <c r="B176" s="10" t="s">
        <v>146</v>
      </c>
      <c r="C176" s="10" t="s">
        <v>324</v>
      </c>
      <c r="D176" s="41"/>
      <c r="E176" s="41"/>
      <c r="F176" s="10" t="s">
        <v>373</v>
      </c>
      <c r="G176" s="51">
        <v>95.2</v>
      </c>
      <c r="H176" s="51">
        <v>0</v>
      </c>
      <c r="I176" s="51">
        <f>G176*AO176</f>
        <v>0</v>
      </c>
      <c r="J176" s="51">
        <f>G176*AP176</f>
        <v>0</v>
      </c>
      <c r="K176" s="51">
        <f>G176*H176</f>
        <v>0</v>
      </c>
      <c r="L176" s="71" t="s">
        <v>393</v>
      </c>
      <c r="Z176" s="76">
        <f>IF(AQ176="5",BJ176,0)</f>
        <v>0</v>
      </c>
      <c r="AB176" s="76">
        <f>IF(AQ176="1",BH176,0)</f>
        <v>0</v>
      </c>
      <c r="AC176" s="76">
        <f>IF(AQ176="1",BI176,0)</f>
        <v>0</v>
      </c>
      <c r="AD176" s="76">
        <f>IF(AQ176="7",BH176,0)</f>
        <v>0</v>
      </c>
      <c r="AE176" s="76">
        <f>IF(AQ176="7",BI176,0)</f>
        <v>0</v>
      </c>
      <c r="AF176" s="76">
        <f>IF(AQ176="2",BH176,0)</f>
        <v>0</v>
      </c>
      <c r="AG176" s="76">
        <f>IF(AQ176="2",BI176,0)</f>
        <v>0</v>
      </c>
      <c r="AH176" s="76">
        <f>IF(AQ176="0",BJ176,0)</f>
        <v>0</v>
      </c>
      <c r="AI176" s="72"/>
      <c r="AJ176" s="51">
        <f>IF(AN176=0,K176,0)</f>
        <v>0</v>
      </c>
      <c r="AK176" s="51">
        <f>IF(AN176=15,K176,0)</f>
        <v>0</v>
      </c>
      <c r="AL176" s="51">
        <f>IF(AN176=21,K176,0)</f>
        <v>0</v>
      </c>
      <c r="AN176" s="76">
        <v>21</v>
      </c>
      <c r="AO176" s="76">
        <f>H176*0.793586776859504</f>
        <v>0</v>
      </c>
      <c r="AP176" s="76">
        <f>H176*(1-0.793586776859504)</f>
        <v>0</v>
      </c>
      <c r="AQ176" s="71" t="s">
        <v>7</v>
      </c>
      <c r="AV176" s="76">
        <f>AW176+AX176</f>
        <v>0</v>
      </c>
      <c r="AW176" s="76">
        <f>G176*AO176</f>
        <v>0</v>
      </c>
      <c r="AX176" s="76">
        <f>G176*AP176</f>
        <v>0</v>
      </c>
      <c r="AY176" s="77" t="s">
        <v>421</v>
      </c>
      <c r="AZ176" s="77" t="s">
        <v>429</v>
      </c>
      <c r="BA176" s="72" t="s">
        <v>431</v>
      </c>
      <c r="BC176" s="76">
        <f>AW176+AX176</f>
        <v>0</v>
      </c>
      <c r="BD176" s="76">
        <f>H176/(100-BE176)*100</f>
        <v>0</v>
      </c>
      <c r="BE176" s="76">
        <v>0</v>
      </c>
      <c r="BF176" s="76">
        <f>176</f>
        <v>176</v>
      </c>
      <c r="BH176" s="51">
        <f>G176*AO176</f>
        <v>0</v>
      </c>
      <c r="BI176" s="51">
        <f>G176*AP176</f>
        <v>0</v>
      </c>
      <c r="BJ176" s="51">
        <f>G176*H176</f>
        <v>0</v>
      </c>
    </row>
    <row r="177" spans="3:7" ht="12.75">
      <c r="C177" s="32" t="s">
        <v>325</v>
      </c>
      <c r="D177" s="42"/>
      <c r="E177" s="42"/>
      <c r="G177" s="52">
        <v>95.2</v>
      </c>
    </row>
    <row r="178" spans="1:62" ht="12.75">
      <c r="A178" s="10" t="s">
        <v>65</v>
      </c>
      <c r="B178" s="10" t="s">
        <v>147</v>
      </c>
      <c r="C178" s="10" t="s">
        <v>326</v>
      </c>
      <c r="D178" s="41"/>
      <c r="E178" s="41"/>
      <c r="F178" s="10" t="s">
        <v>372</v>
      </c>
      <c r="G178" s="51">
        <v>291</v>
      </c>
      <c r="H178" s="51">
        <v>0</v>
      </c>
      <c r="I178" s="51">
        <f>G178*AO178</f>
        <v>0</v>
      </c>
      <c r="J178" s="51">
        <f>G178*AP178</f>
        <v>0</v>
      </c>
      <c r="K178" s="51">
        <f>G178*H178</f>
        <v>0</v>
      </c>
      <c r="L178" s="71" t="s">
        <v>393</v>
      </c>
      <c r="Z178" s="76">
        <f>IF(AQ178="5",BJ178,0)</f>
        <v>0</v>
      </c>
      <c r="AB178" s="76">
        <f>IF(AQ178="1",BH178,0)</f>
        <v>0</v>
      </c>
      <c r="AC178" s="76">
        <f>IF(AQ178="1",BI178,0)</f>
        <v>0</v>
      </c>
      <c r="AD178" s="76">
        <f>IF(AQ178="7",BH178,0)</f>
        <v>0</v>
      </c>
      <c r="AE178" s="76">
        <f>IF(AQ178="7",BI178,0)</f>
        <v>0</v>
      </c>
      <c r="AF178" s="76">
        <f>IF(AQ178="2",BH178,0)</f>
        <v>0</v>
      </c>
      <c r="AG178" s="76">
        <f>IF(AQ178="2",BI178,0)</f>
        <v>0</v>
      </c>
      <c r="AH178" s="76">
        <f>IF(AQ178="0",BJ178,0)</f>
        <v>0</v>
      </c>
      <c r="AI178" s="72"/>
      <c r="AJ178" s="51">
        <f>IF(AN178=0,K178,0)</f>
        <v>0</v>
      </c>
      <c r="AK178" s="51">
        <f>IF(AN178=15,K178,0)</f>
        <v>0</v>
      </c>
      <c r="AL178" s="51">
        <f>IF(AN178=21,K178,0)</f>
        <v>0</v>
      </c>
      <c r="AN178" s="76">
        <v>21</v>
      </c>
      <c r="AO178" s="76">
        <f>H178*0.607557603686636</f>
        <v>0</v>
      </c>
      <c r="AP178" s="76">
        <f>H178*(1-0.607557603686636)</f>
        <v>0</v>
      </c>
      <c r="AQ178" s="71" t="s">
        <v>7</v>
      </c>
      <c r="AV178" s="76">
        <f>AW178+AX178</f>
        <v>0</v>
      </c>
      <c r="AW178" s="76">
        <f>G178*AO178</f>
        <v>0</v>
      </c>
      <c r="AX178" s="76">
        <f>G178*AP178</f>
        <v>0</v>
      </c>
      <c r="AY178" s="77" t="s">
        <v>421</v>
      </c>
      <c r="AZ178" s="77" t="s">
        <v>429</v>
      </c>
      <c r="BA178" s="72" t="s">
        <v>431</v>
      </c>
      <c r="BC178" s="76">
        <f>AW178+AX178</f>
        <v>0</v>
      </c>
      <c r="BD178" s="76">
        <f>H178/(100-BE178)*100</f>
        <v>0</v>
      </c>
      <c r="BE178" s="76">
        <v>0</v>
      </c>
      <c r="BF178" s="76">
        <f>178</f>
        <v>178</v>
      </c>
      <c r="BH178" s="51">
        <f>G178*AO178</f>
        <v>0</v>
      </c>
      <c r="BI178" s="51">
        <f>G178*AP178</f>
        <v>0</v>
      </c>
      <c r="BJ178" s="51">
        <f>G178*H178</f>
        <v>0</v>
      </c>
    </row>
    <row r="179" spans="2:12" ht="12.75">
      <c r="B179" s="24" t="s">
        <v>85</v>
      </c>
      <c r="C179" s="33" t="s">
        <v>327</v>
      </c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62" ht="12.75">
      <c r="A180" s="10" t="s">
        <v>66</v>
      </c>
      <c r="B180" s="10" t="s">
        <v>148</v>
      </c>
      <c r="C180" s="10" t="s">
        <v>328</v>
      </c>
      <c r="D180" s="41"/>
      <c r="E180" s="41"/>
      <c r="F180" s="10" t="s">
        <v>374</v>
      </c>
      <c r="G180" s="51">
        <v>1</v>
      </c>
      <c r="H180" s="51">
        <v>0</v>
      </c>
      <c r="I180" s="51">
        <f>G180*AO180</f>
        <v>0</v>
      </c>
      <c r="J180" s="51">
        <f>G180*AP180</f>
        <v>0</v>
      </c>
      <c r="K180" s="51">
        <f>G180*H180</f>
        <v>0</v>
      </c>
      <c r="L180" s="71" t="s">
        <v>393</v>
      </c>
      <c r="Z180" s="76">
        <f>IF(AQ180="5",BJ180,0)</f>
        <v>0</v>
      </c>
      <c r="AB180" s="76">
        <f>IF(AQ180="1",BH180,0)</f>
        <v>0</v>
      </c>
      <c r="AC180" s="76">
        <f>IF(AQ180="1",BI180,0)</f>
        <v>0</v>
      </c>
      <c r="AD180" s="76">
        <f>IF(AQ180="7",BH180,0)</f>
        <v>0</v>
      </c>
      <c r="AE180" s="76">
        <f>IF(AQ180="7",BI180,0)</f>
        <v>0</v>
      </c>
      <c r="AF180" s="76">
        <f>IF(AQ180="2",BH180,0)</f>
        <v>0</v>
      </c>
      <c r="AG180" s="76">
        <f>IF(AQ180="2",BI180,0)</f>
        <v>0</v>
      </c>
      <c r="AH180" s="76">
        <f>IF(AQ180="0",BJ180,0)</f>
        <v>0</v>
      </c>
      <c r="AI180" s="72"/>
      <c r="AJ180" s="51">
        <f>IF(AN180=0,K180,0)</f>
        <v>0</v>
      </c>
      <c r="AK180" s="51">
        <f>IF(AN180=15,K180,0)</f>
        <v>0</v>
      </c>
      <c r="AL180" s="51">
        <f>IF(AN180=21,K180,0)</f>
        <v>0</v>
      </c>
      <c r="AN180" s="76">
        <v>21</v>
      </c>
      <c r="AO180" s="76">
        <f>H180*0.644306487695749</f>
        <v>0</v>
      </c>
      <c r="AP180" s="76">
        <f>H180*(1-0.644306487695749)</f>
        <v>0</v>
      </c>
      <c r="AQ180" s="71" t="s">
        <v>7</v>
      </c>
      <c r="AV180" s="76">
        <f>AW180+AX180</f>
        <v>0</v>
      </c>
      <c r="AW180" s="76">
        <f>G180*AO180</f>
        <v>0</v>
      </c>
      <c r="AX180" s="76">
        <f>G180*AP180</f>
        <v>0</v>
      </c>
      <c r="AY180" s="77" t="s">
        <v>421</v>
      </c>
      <c r="AZ180" s="77" t="s">
        <v>429</v>
      </c>
      <c r="BA180" s="72" t="s">
        <v>431</v>
      </c>
      <c r="BC180" s="76">
        <f>AW180+AX180</f>
        <v>0</v>
      </c>
      <c r="BD180" s="76">
        <f>H180/(100-BE180)*100</f>
        <v>0</v>
      </c>
      <c r="BE180" s="76">
        <v>0</v>
      </c>
      <c r="BF180" s="76">
        <f>180</f>
        <v>180</v>
      </c>
      <c r="BH180" s="51">
        <f>G180*AO180</f>
        <v>0</v>
      </c>
      <c r="BI180" s="51">
        <f>G180*AP180</f>
        <v>0</v>
      </c>
      <c r="BJ180" s="51">
        <f>G180*H180</f>
        <v>0</v>
      </c>
    </row>
    <row r="181" spans="2:12" ht="25.5" customHeight="1">
      <c r="B181" s="24" t="s">
        <v>85</v>
      </c>
      <c r="C181" s="33" t="s">
        <v>329</v>
      </c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62" ht="12.75">
      <c r="A182" s="10" t="s">
        <v>67</v>
      </c>
      <c r="B182" s="10" t="s">
        <v>149</v>
      </c>
      <c r="C182" s="10" t="s">
        <v>330</v>
      </c>
      <c r="D182" s="41"/>
      <c r="E182" s="41"/>
      <c r="F182" s="10" t="s">
        <v>374</v>
      </c>
      <c r="G182" s="51">
        <v>2</v>
      </c>
      <c r="H182" s="51">
        <v>0</v>
      </c>
      <c r="I182" s="51">
        <f>G182*AO182</f>
        <v>0</v>
      </c>
      <c r="J182" s="51">
        <f>G182*AP182</f>
        <v>0</v>
      </c>
      <c r="K182" s="51">
        <f>G182*H182</f>
        <v>0</v>
      </c>
      <c r="L182" s="71" t="s">
        <v>393</v>
      </c>
      <c r="Z182" s="76">
        <f>IF(AQ182="5",BJ182,0)</f>
        <v>0</v>
      </c>
      <c r="AB182" s="76">
        <f>IF(AQ182="1",BH182,0)</f>
        <v>0</v>
      </c>
      <c r="AC182" s="76">
        <f>IF(AQ182="1",BI182,0)</f>
        <v>0</v>
      </c>
      <c r="AD182" s="76">
        <f>IF(AQ182="7",BH182,0)</f>
        <v>0</v>
      </c>
      <c r="AE182" s="76">
        <f>IF(AQ182="7",BI182,0)</f>
        <v>0</v>
      </c>
      <c r="AF182" s="76">
        <f>IF(AQ182="2",BH182,0)</f>
        <v>0</v>
      </c>
      <c r="AG182" s="76">
        <f>IF(AQ182="2",BI182,0)</f>
        <v>0</v>
      </c>
      <c r="AH182" s="76">
        <f>IF(AQ182="0",BJ182,0)</f>
        <v>0</v>
      </c>
      <c r="AI182" s="72"/>
      <c r="AJ182" s="51">
        <f>IF(AN182=0,K182,0)</f>
        <v>0</v>
      </c>
      <c r="AK182" s="51">
        <f>IF(AN182=15,K182,0)</f>
        <v>0</v>
      </c>
      <c r="AL182" s="51">
        <f>IF(AN182=21,K182,0)</f>
        <v>0</v>
      </c>
      <c r="AN182" s="76">
        <v>21</v>
      </c>
      <c r="AO182" s="76">
        <f>H182*0.622452316076294</f>
        <v>0</v>
      </c>
      <c r="AP182" s="76">
        <f>H182*(1-0.622452316076294)</f>
        <v>0</v>
      </c>
      <c r="AQ182" s="71" t="s">
        <v>7</v>
      </c>
      <c r="AV182" s="76">
        <f>AW182+AX182</f>
        <v>0</v>
      </c>
      <c r="AW182" s="76">
        <f>G182*AO182</f>
        <v>0</v>
      </c>
      <c r="AX182" s="76">
        <f>G182*AP182</f>
        <v>0</v>
      </c>
      <c r="AY182" s="77" t="s">
        <v>421</v>
      </c>
      <c r="AZ182" s="77" t="s">
        <v>429</v>
      </c>
      <c r="BA182" s="72" t="s">
        <v>431</v>
      </c>
      <c r="BC182" s="76">
        <f>AW182+AX182</f>
        <v>0</v>
      </c>
      <c r="BD182" s="76">
        <f>H182/(100-BE182)*100</f>
        <v>0</v>
      </c>
      <c r="BE182" s="76">
        <v>0</v>
      </c>
      <c r="BF182" s="76">
        <f>182</f>
        <v>182</v>
      </c>
      <c r="BH182" s="51">
        <f>G182*AO182</f>
        <v>0</v>
      </c>
      <c r="BI182" s="51">
        <f>G182*AP182</f>
        <v>0</v>
      </c>
      <c r="BJ182" s="51">
        <f>G182*H182</f>
        <v>0</v>
      </c>
    </row>
    <row r="183" spans="2:12" ht="12.75">
      <c r="B183" s="24" t="s">
        <v>85</v>
      </c>
      <c r="C183" s="33" t="s">
        <v>331</v>
      </c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62" ht="12.75">
      <c r="A184" s="12" t="s">
        <v>68</v>
      </c>
      <c r="B184" s="12" t="s">
        <v>150</v>
      </c>
      <c r="C184" s="12" t="s">
        <v>332</v>
      </c>
      <c r="D184" s="45"/>
      <c r="E184" s="45"/>
      <c r="F184" s="12" t="s">
        <v>374</v>
      </c>
      <c r="G184" s="53">
        <v>1</v>
      </c>
      <c r="H184" s="53">
        <v>0</v>
      </c>
      <c r="I184" s="53">
        <f>G184*AO184</f>
        <v>0</v>
      </c>
      <c r="J184" s="53">
        <f>G184*AP184</f>
        <v>0</v>
      </c>
      <c r="K184" s="53">
        <f>G184*H184</f>
        <v>0</v>
      </c>
      <c r="L184" s="73" t="s">
        <v>393</v>
      </c>
      <c r="Z184" s="76">
        <f>IF(AQ184="5",BJ184,0)</f>
        <v>0</v>
      </c>
      <c r="AB184" s="76">
        <f>IF(AQ184="1",BH184,0)</f>
        <v>0</v>
      </c>
      <c r="AC184" s="76">
        <f>IF(AQ184="1",BI184,0)</f>
        <v>0</v>
      </c>
      <c r="AD184" s="76">
        <f>IF(AQ184="7",BH184,0)</f>
        <v>0</v>
      </c>
      <c r="AE184" s="76">
        <f>IF(AQ184="7",BI184,0)</f>
        <v>0</v>
      </c>
      <c r="AF184" s="76">
        <f>IF(AQ184="2",BH184,0)</f>
        <v>0</v>
      </c>
      <c r="AG184" s="76">
        <f>IF(AQ184="2",BI184,0)</f>
        <v>0</v>
      </c>
      <c r="AH184" s="76">
        <f>IF(AQ184="0",BJ184,0)</f>
        <v>0</v>
      </c>
      <c r="AI184" s="72"/>
      <c r="AJ184" s="53">
        <f>IF(AN184=0,K184,0)</f>
        <v>0</v>
      </c>
      <c r="AK184" s="53">
        <f>IF(AN184=15,K184,0)</f>
        <v>0</v>
      </c>
      <c r="AL184" s="53">
        <f>IF(AN184=21,K184,0)</f>
        <v>0</v>
      </c>
      <c r="AN184" s="76">
        <v>21</v>
      </c>
      <c r="AO184" s="76">
        <f>H184*1</f>
        <v>0</v>
      </c>
      <c r="AP184" s="76">
        <f>H184*(1-1)</f>
        <v>0</v>
      </c>
      <c r="AQ184" s="73" t="s">
        <v>7</v>
      </c>
      <c r="AV184" s="76">
        <f>AW184+AX184</f>
        <v>0</v>
      </c>
      <c r="AW184" s="76">
        <f>G184*AO184</f>
        <v>0</v>
      </c>
      <c r="AX184" s="76">
        <f>G184*AP184</f>
        <v>0</v>
      </c>
      <c r="AY184" s="77" t="s">
        <v>421</v>
      </c>
      <c r="AZ184" s="77" t="s">
        <v>429</v>
      </c>
      <c r="BA184" s="72" t="s">
        <v>431</v>
      </c>
      <c r="BC184" s="76">
        <f>AW184+AX184</f>
        <v>0</v>
      </c>
      <c r="BD184" s="76">
        <f>H184/(100-BE184)*100</f>
        <v>0</v>
      </c>
      <c r="BE184" s="76">
        <v>0</v>
      </c>
      <c r="BF184" s="76">
        <f>184</f>
        <v>184</v>
      </c>
      <c r="BH184" s="53">
        <f>G184*AO184</f>
        <v>0</v>
      </c>
      <c r="BI184" s="53">
        <f>G184*AP184</f>
        <v>0</v>
      </c>
      <c r="BJ184" s="53">
        <f>G184*H184</f>
        <v>0</v>
      </c>
    </row>
    <row r="185" spans="2:12" ht="38.25" customHeight="1">
      <c r="B185" s="24" t="s">
        <v>85</v>
      </c>
      <c r="C185" s="33" t="s">
        <v>333</v>
      </c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62" ht="12.75">
      <c r="A186" s="12" t="s">
        <v>69</v>
      </c>
      <c r="B186" s="12" t="s">
        <v>151</v>
      </c>
      <c r="C186" s="12" t="s">
        <v>334</v>
      </c>
      <c r="D186" s="45"/>
      <c r="E186" s="45"/>
      <c r="F186" s="12" t="s">
        <v>374</v>
      </c>
      <c r="G186" s="53">
        <v>1</v>
      </c>
      <c r="H186" s="53">
        <v>0</v>
      </c>
      <c r="I186" s="53">
        <f>G186*AO186</f>
        <v>0</v>
      </c>
      <c r="J186" s="53">
        <f>G186*AP186</f>
        <v>0</v>
      </c>
      <c r="K186" s="53">
        <f>G186*H186</f>
        <v>0</v>
      </c>
      <c r="L186" s="73" t="s">
        <v>393</v>
      </c>
      <c r="Z186" s="76">
        <f>IF(AQ186="5",BJ186,0)</f>
        <v>0</v>
      </c>
      <c r="AB186" s="76">
        <f>IF(AQ186="1",BH186,0)</f>
        <v>0</v>
      </c>
      <c r="AC186" s="76">
        <f>IF(AQ186="1",BI186,0)</f>
        <v>0</v>
      </c>
      <c r="AD186" s="76">
        <f>IF(AQ186="7",BH186,0)</f>
        <v>0</v>
      </c>
      <c r="AE186" s="76">
        <f>IF(AQ186="7",BI186,0)</f>
        <v>0</v>
      </c>
      <c r="AF186" s="76">
        <f>IF(AQ186="2",BH186,0)</f>
        <v>0</v>
      </c>
      <c r="AG186" s="76">
        <f>IF(AQ186="2",BI186,0)</f>
        <v>0</v>
      </c>
      <c r="AH186" s="76">
        <f>IF(AQ186="0",BJ186,0)</f>
        <v>0</v>
      </c>
      <c r="AI186" s="72"/>
      <c r="AJ186" s="53">
        <f>IF(AN186=0,K186,0)</f>
        <v>0</v>
      </c>
      <c r="AK186" s="53">
        <f>IF(AN186=15,K186,0)</f>
        <v>0</v>
      </c>
      <c r="AL186" s="53">
        <f>IF(AN186=21,K186,0)</f>
        <v>0</v>
      </c>
      <c r="AN186" s="76">
        <v>21</v>
      </c>
      <c r="AO186" s="76">
        <f>H186*1</f>
        <v>0</v>
      </c>
      <c r="AP186" s="76">
        <f>H186*(1-1)</f>
        <v>0</v>
      </c>
      <c r="AQ186" s="73" t="s">
        <v>7</v>
      </c>
      <c r="AV186" s="76">
        <f>AW186+AX186</f>
        <v>0</v>
      </c>
      <c r="AW186" s="76">
        <f>G186*AO186</f>
        <v>0</v>
      </c>
      <c r="AX186" s="76">
        <f>G186*AP186</f>
        <v>0</v>
      </c>
      <c r="AY186" s="77" t="s">
        <v>421</v>
      </c>
      <c r="AZ186" s="77" t="s">
        <v>429</v>
      </c>
      <c r="BA186" s="72" t="s">
        <v>431</v>
      </c>
      <c r="BC186" s="76">
        <f>AW186+AX186</f>
        <v>0</v>
      </c>
      <c r="BD186" s="76">
        <f>H186/(100-BE186)*100</f>
        <v>0</v>
      </c>
      <c r="BE186" s="76">
        <v>0</v>
      </c>
      <c r="BF186" s="76">
        <f>186</f>
        <v>186</v>
      </c>
      <c r="BH186" s="53">
        <f>G186*AO186</f>
        <v>0</v>
      </c>
      <c r="BI186" s="53">
        <f>G186*AP186</f>
        <v>0</v>
      </c>
      <c r="BJ186" s="53">
        <f>G186*H186</f>
        <v>0</v>
      </c>
    </row>
    <row r="187" spans="2:12" ht="25.5" customHeight="1">
      <c r="B187" s="24" t="s">
        <v>85</v>
      </c>
      <c r="C187" s="33" t="s">
        <v>335</v>
      </c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62" ht="12.75">
      <c r="A188" s="10" t="s">
        <v>70</v>
      </c>
      <c r="B188" s="10" t="s">
        <v>152</v>
      </c>
      <c r="C188" s="10" t="s">
        <v>336</v>
      </c>
      <c r="D188" s="41"/>
      <c r="E188" s="41"/>
      <c r="F188" s="10" t="s">
        <v>372</v>
      </c>
      <c r="G188" s="51">
        <v>65</v>
      </c>
      <c r="H188" s="51">
        <v>0</v>
      </c>
      <c r="I188" s="51">
        <f>G188*AO188</f>
        <v>0</v>
      </c>
      <c r="J188" s="51">
        <f>G188*AP188</f>
        <v>0</v>
      </c>
      <c r="K188" s="51">
        <f>G188*H188</f>
        <v>0</v>
      </c>
      <c r="L188" s="71" t="s">
        <v>393</v>
      </c>
      <c r="Z188" s="76">
        <f>IF(AQ188="5",BJ188,0)</f>
        <v>0</v>
      </c>
      <c r="AB188" s="76">
        <f>IF(AQ188="1",BH188,0)</f>
        <v>0</v>
      </c>
      <c r="AC188" s="76">
        <f>IF(AQ188="1",BI188,0)</f>
        <v>0</v>
      </c>
      <c r="AD188" s="76">
        <f>IF(AQ188="7",BH188,0)</f>
        <v>0</v>
      </c>
      <c r="AE188" s="76">
        <f>IF(AQ188="7",BI188,0)</f>
        <v>0</v>
      </c>
      <c r="AF188" s="76">
        <f>IF(AQ188="2",BH188,0)</f>
        <v>0</v>
      </c>
      <c r="AG188" s="76">
        <f>IF(AQ188="2",BI188,0)</f>
        <v>0</v>
      </c>
      <c r="AH188" s="76">
        <f>IF(AQ188="0",BJ188,0)</f>
        <v>0</v>
      </c>
      <c r="AI188" s="72"/>
      <c r="AJ188" s="51">
        <f>IF(AN188=0,K188,0)</f>
        <v>0</v>
      </c>
      <c r="AK188" s="51">
        <f>IF(AN188=15,K188,0)</f>
        <v>0</v>
      </c>
      <c r="AL188" s="51">
        <f>IF(AN188=21,K188,0)</f>
        <v>0</v>
      </c>
      <c r="AN188" s="76">
        <v>21</v>
      </c>
      <c r="AO188" s="76">
        <f>H188*0.643171806167401</f>
        <v>0</v>
      </c>
      <c r="AP188" s="76">
        <f>H188*(1-0.643171806167401)</f>
        <v>0</v>
      </c>
      <c r="AQ188" s="71" t="s">
        <v>7</v>
      </c>
      <c r="AV188" s="76">
        <f>AW188+AX188</f>
        <v>0</v>
      </c>
      <c r="AW188" s="76">
        <f>G188*AO188</f>
        <v>0</v>
      </c>
      <c r="AX188" s="76">
        <f>G188*AP188</f>
        <v>0</v>
      </c>
      <c r="AY188" s="77" t="s">
        <v>421</v>
      </c>
      <c r="AZ188" s="77" t="s">
        <v>429</v>
      </c>
      <c r="BA188" s="72" t="s">
        <v>431</v>
      </c>
      <c r="BC188" s="76">
        <f>AW188+AX188</f>
        <v>0</v>
      </c>
      <c r="BD188" s="76">
        <f>H188/(100-BE188)*100</f>
        <v>0</v>
      </c>
      <c r="BE188" s="76">
        <v>0</v>
      </c>
      <c r="BF188" s="76">
        <f>188</f>
        <v>188</v>
      </c>
      <c r="BH188" s="51">
        <f>G188*AO188</f>
        <v>0</v>
      </c>
      <c r="BI188" s="51">
        <f>G188*AP188</f>
        <v>0</v>
      </c>
      <c r="BJ188" s="51">
        <f>G188*H188</f>
        <v>0</v>
      </c>
    </row>
    <row r="189" spans="3:7" ht="12.75">
      <c r="C189" s="32" t="s">
        <v>337</v>
      </c>
      <c r="D189" s="42"/>
      <c r="E189" s="42"/>
      <c r="G189" s="52">
        <v>65</v>
      </c>
    </row>
    <row r="190" spans="1:62" ht="12.75">
      <c r="A190" s="10" t="s">
        <v>71</v>
      </c>
      <c r="B190" s="10" t="s">
        <v>153</v>
      </c>
      <c r="C190" s="10" t="s">
        <v>338</v>
      </c>
      <c r="D190" s="41"/>
      <c r="E190" s="41"/>
      <c r="F190" s="10" t="s">
        <v>371</v>
      </c>
      <c r="G190" s="51">
        <v>1</v>
      </c>
      <c r="H190" s="51">
        <v>0</v>
      </c>
      <c r="I190" s="51">
        <f>G190*AO190</f>
        <v>0</v>
      </c>
      <c r="J190" s="51">
        <f>G190*AP190</f>
        <v>0</v>
      </c>
      <c r="K190" s="51">
        <f>G190*H190</f>
        <v>0</v>
      </c>
      <c r="L190" s="71" t="s">
        <v>393</v>
      </c>
      <c r="Z190" s="76">
        <f>IF(AQ190="5",BJ190,0)</f>
        <v>0</v>
      </c>
      <c r="AB190" s="76">
        <f>IF(AQ190="1",BH190,0)</f>
        <v>0</v>
      </c>
      <c r="AC190" s="76">
        <f>IF(AQ190="1",BI190,0)</f>
        <v>0</v>
      </c>
      <c r="AD190" s="76">
        <f>IF(AQ190="7",BH190,0)</f>
        <v>0</v>
      </c>
      <c r="AE190" s="76">
        <f>IF(AQ190="7",BI190,0)</f>
        <v>0</v>
      </c>
      <c r="AF190" s="76">
        <f>IF(AQ190="2",BH190,0)</f>
        <v>0</v>
      </c>
      <c r="AG190" s="76">
        <f>IF(AQ190="2",BI190,0)</f>
        <v>0</v>
      </c>
      <c r="AH190" s="76">
        <f>IF(AQ190="0",BJ190,0)</f>
        <v>0</v>
      </c>
      <c r="AI190" s="72"/>
      <c r="AJ190" s="51">
        <f>IF(AN190=0,K190,0)</f>
        <v>0</v>
      </c>
      <c r="AK190" s="51">
        <f>IF(AN190=15,K190,0)</f>
        <v>0</v>
      </c>
      <c r="AL190" s="51">
        <f>IF(AN190=21,K190,0)</f>
        <v>0</v>
      </c>
      <c r="AN190" s="76">
        <v>21</v>
      </c>
      <c r="AO190" s="76">
        <f>H190*0.391073094867807</f>
        <v>0</v>
      </c>
      <c r="AP190" s="76">
        <f>H190*(1-0.391073094867807)</f>
        <v>0</v>
      </c>
      <c r="AQ190" s="71" t="s">
        <v>7</v>
      </c>
      <c r="AV190" s="76">
        <f>AW190+AX190</f>
        <v>0</v>
      </c>
      <c r="AW190" s="76">
        <f>G190*AO190</f>
        <v>0</v>
      </c>
      <c r="AX190" s="76">
        <f>G190*AP190</f>
        <v>0</v>
      </c>
      <c r="AY190" s="77" t="s">
        <v>421</v>
      </c>
      <c r="AZ190" s="77" t="s">
        <v>429</v>
      </c>
      <c r="BA190" s="72" t="s">
        <v>431</v>
      </c>
      <c r="BC190" s="76">
        <f>AW190+AX190</f>
        <v>0</v>
      </c>
      <c r="BD190" s="76">
        <f>H190/(100-BE190)*100</f>
        <v>0</v>
      </c>
      <c r="BE190" s="76">
        <v>0</v>
      </c>
      <c r="BF190" s="76">
        <f>190</f>
        <v>190</v>
      </c>
      <c r="BH190" s="51">
        <f>G190*AO190</f>
        <v>0</v>
      </c>
      <c r="BI190" s="51">
        <f>G190*AP190</f>
        <v>0</v>
      </c>
      <c r="BJ190" s="51">
        <f>G190*H190</f>
        <v>0</v>
      </c>
    </row>
    <row r="191" spans="3:7" ht="12.75">
      <c r="C191" s="32" t="s">
        <v>339</v>
      </c>
      <c r="D191" s="42"/>
      <c r="E191" s="42"/>
      <c r="G191" s="52">
        <v>1</v>
      </c>
    </row>
    <row r="192" spans="1:47" ht="12.75">
      <c r="A192" s="11"/>
      <c r="B192" s="25" t="s">
        <v>154</v>
      </c>
      <c r="C192" s="25" t="s">
        <v>340</v>
      </c>
      <c r="D192" s="44"/>
      <c r="E192" s="44"/>
      <c r="F192" s="11" t="s">
        <v>6</v>
      </c>
      <c r="G192" s="11" t="s">
        <v>6</v>
      </c>
      <c r="H192" s="11" t="s">
        <v>6</v>
      </c>
      <c r="I192" s="79">
        <f>SUM(I193:I193)</f>
        <v>0</v>
      </c>
      <c r="J192" s="79">
        <f>SUM(J193:J193)</f>
        <v>0</v>
      </c>
      <c r="K192" s="79">
        <f>SUM(K193:K193)</f>
        <v>0</v>
      </c>
      <c r="L192" s="72"/>
      <c r="AI192" s="72"/>
      <c r="AS192" s="79">
        <f>SUM(AJ193:AJ193)</f>
        <v>0</v>
      </c>
      <c r="AT192" s="79">
        <f>SUM(AK193:AK193)</f>
        <v>0</v>
      </c>
      <c r="AU192" s="79">
        <f>SUM(AL193:AL193)</f>
        <v>0</v>
      </c>
    </row>
    <row r="193" spans="1:62" ht="12.75">
      <c r="A193" s="10" t="s">
        <v>72</v>
      </c>
      <c r="B193" s="10" t="s">
        <v>155</v>
      </c>
      <c r="C193" s="10" t="s">
        <v>341</v>
      </c>
      <c r="D193" s="41"/>
      <c r="E193" s="41"/>
      <c r="F193" s="10" t="s">
        <v>374</v>
      </c>
      <c r="G193" s="51">
        <v>2</v>
      </c>
      <c r="H193" s="51">
        <v>0</v>
      </c>
      <c r="I193" s="51">
        <f>G193*AO193</f>
        <v>0</v>
      </c>
      <c r="J193" s="51">
        <f>G193*AP193</f>
        <v>0</v>
      </c>
      <c r="K193" s="51">
        <f>G193*H193</f>
        <v>0</v>
      </c>
      <c r="L193" s="71"/>
      <c r="Z193" s="76">
        <f>IF(AQ193="5",BJ193,0)</f>
        <v>0</v>
      </c>
      <c r="AB193" s="76">
        <f>IF(AQ193="1",BH193,0)</f>
        <v>0</v>
      </c>
      <c r="AC193" s="76">
        <f>IF(AQ193="1",BI193,0)</f>
        <v>0</v>
      </c>
      <c r="AD193" s="76">
        <f>IF(AQ193="7",BH193,0)</f>
        <v>0</v>
      </c>
      <c r="AE193" s="76">
        <f>IF(AQ193="7",BI193,0)</f>
        <v>0</v>
      </c>
      <c r="AF193" s="76">
        <f>IF(AQ193="2",BH193,0)</f>
        <v>0</v>
      </c>
      <c r="AG193" s="76">
        <f>IF(AQ193="2",BI193,0)</f>
        <v>0</v>
      </c>
      <c r="AH193" s="76">
        <f>IF(AQ193="0",BJ193,0)</f>
        <v>0</v>
      </c>
      <c r="AI193" s="72"/>
      <c r="AJ193" s="51">
        <f>IF(AN193=0,K193,0)</f>
        <v>0</v>
      </c>
      <c r="AK193" s="51">
        <f>IF(AN193=15,K193,0)</f>
        <v>0</v>
      </c>
      <c r="AL193" s="51">
        <f>IF(AN193=21,K193,0)</f>
        <v>0</v>
      </c>
      <c r="AN193" s="76">
        <v>21</v>
      </c>
      <c r="AO193" s="76">
        <f>H193*0</f>
        <v>0</v>
      </c>
      <c r="AP193" s="76">
        <f>H193*(1-0)</f>
        <v>0</v>
      </c>
      <c r="AQ193" s="71" t="s">
        <v>7</v>
      </c>
      <c r="AV193" s="76">
        <f>AW193+AX193</f>
        <v>0</v>
      </c>
      <c r="AW193" s="76">
        <f>G193*AO193</f>
        <v>0</v>
      </c>
      <c r="AX193" s="76">
        <f>G193*AP193</f>
        <v>0</v>
      </c>
      <c r="AY193" s="77" t="s">
        <v>422</v>
      </c>
      <c r="AZ193" s="77" t="s">
        <v>429</v>
      </c>
      <c r="BA193" s="72" t="s">
        <v>431</v>
      </c>
      <c r="BC193" s="76">
        <f>AW193+AX193</f>
        <v>0</v>
      </c>
      <c r="BD193" s="76">
        <f>H193/(100-BE193)*100</f>
        <v>0</v>
      </c>
      <c r="BE193" s="76">
        <v>0</v>
      </c>
      <c r="BF193" s="76">
        <f>193</f>
        <v>193</v>
      </c>
      <c r="BH193" s="51">
        <f>G193*AO193</f>
        <v>0</v>
      </c>
      <c r="BI193" s="51">
        <f>G193*AP193</f>
        <v>0</v>
      </c>
      <c r="BJ193" s="51">
        <f>G193*H193</f>
        <v>0</v>
      </c>
    </row>
    <row r="194" spans="1:47" ht="12.75">
      <c r="A194" s="11"/>
      <c r="B194" s="25" t="s">
        <v>156</v>
      </c>
      <c r="C194" s="25" t="s">
        <v>342</v>
      </c>
      <c r="D194" s="44"/>
      <c r="E194" s="44"/>
      <c r="F194" s="11" t="s">
        <v>6</v>
      </c>
      <c r="G194" s="11" t="s">
        <v>6</v>
      </c>
      <c r="H194" s="11" t="s">
        <v>6</v>
      </c>
      <c r="I194" s="79">
        <f>SUM(I195:I209)</f>
        <v>0</v>
      </c>
      <c r="J194" s="79">
        <f>SUM(J195:J209)</f>
        <v>0</v>
      </c>
      <c r="K194" s="79">
        <f>SUM(K195:K209)</f>
        <v>0</v>
      </c>
      <c r="L194" s="72"/>
      <c r="AI194" s="72"/>
      <c r="AS194" s="79">
        <f>SUM(AJ195:AJ209)</f>
        <v>0</v>
      </c>
      <c r="AT194" s="79">
        <f>SUM(AK195:AK209)</f>
        <v>0</v>
      </c>
      <c r="AU194" s="79">
        <f>SUM(AL195:AL209)</f>
        <v>0</v>
      </c>
    </row>
    <row r="195" spans="1:62" ht="12.75">
      <c r="A195" s="10" t="s">
        <v>73</v>
      </c>
      <c r="B195" s="10" t="s">
        <v>157</v>
      </c>
      <c r="C195" s="10" t="s">
        <v>343</v>
      </c>
      <c r="D195" s="41"/>
      <c r="E195" s="41"/>
      <c r="F195" s="10" t="s">
        <v>375</v>
      </c>
      <c r="G195" s="51">
        <v>166.782</v>
      </c>
      <c r="H195" s="51">
        <v>0</v>
      </c>
      <c r="I195" s="51">
        <f>G195*AO195</f>
        <v>0</v>
      </c>
      <c r="J195" s="51">
        <f>G195*AP195</f>
        <v>0</v>
      </c>
      <c r="K195" s="51">
        <f>G195*H195</f>
        <v>0</v>
      </c>
      <c r="L195" s="71" t="s">
        <v>393</v>
      </c>
      <c r="Z195" s="76">
        <f>IF(AQ195="5",BJ195,0)</f>
        <v>0</v>
      </c>
      <c r="AB195" s="76">
        <f>IF(AQ195="1",BH195,0)</f>
        <v>0</v>
      </c>
      <c r="AC195" s="76">
        <f>IF(AQ195="1",BI195,0)</f>
        <v>0</v>
      </c>
      <c r="AD195" s="76">
        <f>IF(AQ195="7",BH195,0)</f>
        <v>0</v>
      </c>
      <c r="AE195" s="76">
        <f>IF(AQ195="7",BI195,0)</f>
        <v>0</v>
      </c>
      <c r="AF195" s="76">
        <f>IF(AQ195="2",BH195,0)</f>
        <v>0</v>
      </c>
      <c r="AG195" s="76">
        <f>IF(AQ195="2",BI195,0)</f>
        <v>0</v>
      </c>
      <c r="AH195" s="76">
        <f>IF(AQ195="0",BJ195,0)</f>
        <v>0</v>
      </c>
      <c r="AI195" s="72"/>
      <c r="AJ195" s="51">
        <f>IF(AN195=0,K195,0)</f>
        <v>0</v>
      </c>
      <c r="AK195" s="51">
        <f>IF(AN195=15,K195,0)</f>
        <v>0</v>
      </c>
      <c r="AL195" s="51">
        <f>IF(AN195=21,K195,0)</f>
        <v>0</v>
      </c>
      <c r="AN195" s="76">
        <v>21</v>
      </c>
      <c r="AO195" s="76">
        <f>H195*0</f>
        <v>0</v>
      </c>
      <c r="AP195" s="76">
        <f>H195*(1-0)</f>
        <v>0</v>
      </c>
      <c r="AQ195" s="71" t="s">
        <v>11</v>
      </c>
      <c r="AV195" s="76">
        <f>AW195+AX195</f>
        <v>0</v>
      </c>
      <c r="AW195" s="76">
        <f>G195*AO195</f>
        <v>0</v>
      </c>
      <c r="AX195" s="76">
        <f>G195*AP195</f>
        <v>0</v>
      </c>
      <c r="AY195" s="77" t="s">
        <v>423</v>
      </c>
      <c r="AZ195" s="77" t="s">
        <v>429</v>
      </c>
      <c r="BA195" s="72" t="s">
        <v>431</v>
      </c>
      <c r="BC195" s="76">
        <f>AW195+AX195</f>
        <v>0</v>
      </c>
      <c r="BD195" s="76">
        <f>H195/(100-BE195)*100</f>
        <v>0</v>
      </c>
      <c r="BE195" s="76">
        <v>0</v>
      </c>
      <c r="BF195" s="76">
        <f>195</f>
        <v>195</v>
      </c>
      <c r="BH195" s="51">
        <f>G195*AO195</f>
        <v>0</v>
      </c>
      <c r="BI195" s="51">
        <f>G195*AP195</f>
        <v>0</v>
      </c>
      <c r="BJ195" s="51">
        <f>G195*H195</f>
        <v>0</v>
      </c>
    </row>
    <row r="196" spans="3:7" ht="12.75">
      <c r="C196" s="32" t="s">
        <v>344</v>
      </c>
      <c r="D196" s="42"/>
      <c r="E196" s="42"/>
      <c r="G196" s="52">
        <v>29.7</v>
      </c>
    </row>
    <row r="197" spans="3:7" ht="12.75">
      <c r="C197" s="32" t="s">
        <v>345</v>
      </c>
      <c r="D197" s="42"/>
      <c r="E197" s="42"/>
      <c r="G197" s="52">
        <v>58.432</v>
      </c>
    </row>
    <row r="198" spans="3:7" ht="12.75">
      <c r="C198" s="32" t="s">
        <v>346</v>
      </c>
      <c r="D198" s="42"/>
      <c r="E198" s="42"/>
      <c r="G198" s="52">
        <v>78.65</v>
      </c>
    </row>
    <row r="199" spans="1:62" ht="12.75">
      <c r="A199" s="10" t="s">
        <v>74</v>
      </c>
      <c r="B199" s="10" t="s">
        <v>158</v>
      </c>
      <c r="C199" s="10" t="s">
        <v>347</v>
      </c>
      <c r="D199" s="41"/>
      <c r="E199" s="41"/>
      <c r="F199" s="10" t="s">
        <v>375</v>
      </c>
      <c r="G199" s="51">
        <v>1728.738</v>
      </c>
      <c r="H199" s="51">
        <v>0</v>
      </c>
      <c r="I199" s="51">
        <f>G199*AO199</f>
        <v>0</v>
      </c>
      <c r="J199" s="51">
        <f>G199*AP199</f>
        <v>0</v>
      </c>
      <c r="K199" s="51">
        <f>G199*H199</f>
        <v>0</v>
      </c>
      <c r="L199" s="71" t="s">
        <v>393</v>
      </c>
      <c r="Z199" s="76">
        <f>IF(AQ199="5",BJ199,0)</f>
        <v>0</v>
      </c>
      <c r="AB199" s="76">
        <f>IF(AQ199="1",BH199,0)</f>
        <v>0</v>
      </c>
      <c r="AC199" s="76">
        <f>IF(AQ199="1",BI199,0)</f>
        <v>0</v>
      </c>
      <c r="AD199" s="76">
        <f>IF(AQ199="7",BH199,0)</f>
        <v>0</v>
      </c>
      <c r="AE199" s="76">
        <f>IF(AQ199="7",BI199,0)</f>
        <v>0</v>
      </c>
      <c r="AF199" s="76">
        <f>IF(AQ199="2",BH199,0)</f>
        <v>0</v>
      </c>
      <c r="AG199" s="76">
        <f>IF(AQ199="2",BI199,0)</f>
        <v>0</v>
      </c>
      <c r="AH199" s="76">
        <f>IF(AQ199="0",BJ199,0)</f>
        <v>0</v>
      </c>
      <c r="AI199" s="72"/>
      <c r="AJ199" s="51">
        <f>IF(AN199=0,K199,0)</f>
        <v>0</v>
      </c>
      <c r="AK199" s="51">
        <f>IF(AN199=15,K199,0)</f>
        <v>0</v>
      </c>
      <c r="AL199" s="51">
        <f>IF(AN199=21,K199,0)</f>
        <v>0</v>
      </c>
      <c r="AN199" s="76">
        <v>21</v>
      </c>
      <c r="AO199" s="76">
        <f>H199*0</f>
        <v>0</v>
      </c>
      <c r="AP199" s="76">
        <f>H199*(1-0)</f>
        <v>0</v>
      </c>
      <c r="AQ199" s="71" t="s">
        <v>11</v>
      </c>
      <c r="AV199" s="76">
        <f>AW199+AX199</f>
        <v>0</v>
      </c>
      <c r="AW199" s="76">
        <f>G199*AO199</f>
        <v>0</v>
      </c>
      <c r="AX199" s="76">
        <f>G199*AP199</f>
        <v>0</v>
      </c>
      <c r="AY199" s="77" t="s">
        <v>423</v>
      </c>
      <c r="AZ199" s="77" t="s">
        <v>429</v>
      </c>
      <c r="BA199" s="72" t="s">
        <v>431</v>
      </c>
      <c r="BC199" s="76">
        <f>AW199+AX199</f>
        <v>0</v>
      </c>
      <c r="BD199" s="76">
        <f>H199/(100-BE199)*100</f>
        <v>0</v>
      </c>
      <c r="BE199" s="76">
        <v>0</v>
      </c>
      <c r="BF199" s="76">
        <f>199</f>
        <v>199</v>
      </c>
      <c r="BH199" s="51">
        <f>G199*AO199</f>
        <v>0</v>
      </c>
      <c r="BI199" s="51">
        <f>G199*AP199</f>
        <v>0</v>
      </c>
      <c r="BJ199" s="51">
        <f>G199*H199</f>
        <v>0</v>
      </c>
    </row>
    <row r="200" spans="3:7" ht="12.75">
      <c r="C200" s="32" t="s">
        <v>348</v>
      </c>
      <c r="D200" s="42"/>
      <c r="E200" s="42"/>
      <c r="G200" s="52">
        <v>1728.738</v>
      </c>
    </row>
    <row r="201" spans="1:62" ht="12.75">
      <c r="A201" s="10" t="s">
        <v>75</v>
      </c>
      <c r="B201" s="10" t="s">
        <v>159</v>
      </c>
      <c r="C201" s="10" t="s">
        <v>349</v>
      </c>
      <c r="D201" s="41"/>
      <c r="E201" s="41"/>
      <c r="F201" s="10" t="s">
        <v>375</v>
      </c>
      <c r="G201" s="51">
        <v>21.025</v>
      </c>
      <c r="H201" s="51">
        <v>0</v>
      </c>
      <c r="I201" s="51">
        <f>G201*AO201</f>
        <v>0</v>
      </c>
      <c r="J201" s="51">
        <f>G201*AP201</f>
        <v>0</v>
      </c>
      <c r="K201" s="51">
        <f>G201*H201</f>
        <v>0</v>
      </c>
      <c r="L201" s="71" t="s">
        <v>393</v>
      </c>
      <c r="Z201" s="76">
        <f>IF(AQ201="5",BJ201,0)</f>
        <v>0</v>
      </c>
      <c r="AB201" s="76">
        <f>IF(AQ201="1",BH201,0)</f>
        <v>0</v>
      </c>
      <c r="AC201" s="76">
        <f>IF(AQ201="1",BI201,0)</f>
        <v>0</v>
      </c>
      <c r="AD201" s="76">
        <f>IF(AQ201="7",BH201,0)</f>
        <v>0</v>
      </c>
      <c r="AE201" s="76">
        <f>IF(AQ201="7",BI201,0)</f>
        <v>0</v>
      </c>
      <c r="AF201" s="76">
        <f>IF(AQ201="2",BH201,0)</f>
        <v>0</v>
      </c>
      <c r="AG201" s="76">
        <f>IF(AQ201="2",BI201,0)</f>
        <v>0</v>
      </c>
      <c r="AH201" s="76">
        <f>IF(AQ201="0",BJ201,0)</f>
        <v>0</v>
      </c>
      <c r="AI201" s="72"/>
      <c r="AJ201" s="51">
        <f>IF(AN201=0,K201,0)</f>
        <v>0</v>
      </c>
      <c r="AK201" s="51">
        <f>IF(AN201=15,K201,0)</f>
        <v>0</v>
      </c>
      <c r="AL201" s="51">
        <f>IF(AN201=21,K201,0)</f>
        <v>0</v>
      </c>
      <c r="AN201" s="76">
        <v>21</v>
      </c>
      <c r="AO201" s="76">
        <f>H201*0</f>
        <v>0</v>
      </c>
      <c r="AP201" s="76">
        <f>H201*(1-0)</f>
        <v>0</v>
      </c>
      <c r="AQ201" s="71" t="s">
        <v>11</v>
      </c>
      <c r="AV201" s="76">
        <f>AW201+AX201</f>
        <v>0</v>
      </c>
      <c r="AW201" s="76">
        <f>G201*AO201</f>
        <v>0</v>
      </c>
      <c r="AX201" s="76">
        <f>G201*AP201</f>
        <v>0</v>
      </c>
      <c r="AY201" s="77" t="s">
        <v>423</v>
      </c>
      <c r="AZ201" s="77" t="s">
        <v>429</v>
      </c>
      <c r="BA201" s="72" t="s">
        <v>431</v>
      </c>
      <c r="BC201" s="76">
        <f>AW201+AX201</f>
        <v>0</v>
      </c>
      <c r="BD201" s="76">
        <f>H201/(100-BE201)*100</f>
        <v>0</v>
      </c>
      <c r="BE201" s="76">
        <v>0</v>
      </c>
      <c r="BF201" s="76">
        <f>201</f>
        <v>201</v>
      </c>
      <c r="BH201" s="51">
        <f>G201*AO201</f>
        <v>0</v>
      </c>
      <c r="BI201" s="51">
        <f>G201*AP201</f>
        <v>0</v>
      </c>
      <c r="BJ201" s="51">
        <f>G201*H201</f>
        <v>0</v>
      </c>
    </row>
    <row r="202" spans="3:7" ht="12.75">
      <c r="C202" s="32" t="s">
        <v>350</v>
      </c>
      <c r="D202" s="42"/>
      <c r="E202" s="42"/>
      <c r="G202" s="52">
        <v>21.025</v>
      </c>
    </row>
    <row r="203" spans="1:62" ht="12.75">
      <c r="A203" s="10" t="s">
        <v>76</v>
      </c>
      <c r="B203" s="10" t="s">
        <v>160</v>
      </c>
      <c r="C203" s="10" t="s">
        <v>351</v>
      </c>
      <c r="D203" s="41"/>
      <c r="E203" s="41"/>
      <c r="F203" s="10" t="s">
        <v>375</v>
      </c>
      <c r="G203" s="51">
        <v>21.025</v>
      </c>
      <c r="H203" s="51">
        <v>0</v>
      </c>
      <c r="I203" s="51">
        <f>G203*AO203</f>
        <v>0</v>
      </c>
      <c r="J203" s="51">
        <f>G203*AP203</f>
        <v>0</v>
      </c>
      <c r="K203" s="51">
        <f>G203*H203</f>
        <v>0</v>
      </c>
      <c r="L203" s="71" t="s">
        <v>393</v>
      </c>
      <c r="Z203" s="76">
        <f>IF(AQ203="5",BJ203,0)</f>
        <v>0</v>
      </c>
      <c r="AB203" s="76">
        <f>IF(AQ203="1",BH203,0)</f>
        <v>0</v>
      </c>
      <c r="AC203" s="76">
        <f>IF(AQ203="1",BI203,0)</f>
        <v>0</v>
      </c>
      <c r="AD203" s="76">
        <f>IF(AQ203="7",BH203,0)</f>
        <v>0</v>
      </c>
      <c r="AE203" s="76">
        <f>IF(AQ203="7",BI203,0)</f>
        <v>0</v>
      </c>
      <c r="AF203" s="76">
        <f>IF(AQ203="2",BH203,0)</f>
        <v>0</v>
      </c>
      <c r="AG203" s="76">
        <f>IF(AQ203="2",BI203,0)</f>
        <v>0</v>
      </c>
      <c r="AH203" s="76">
        <f>IF(AQ203="0",BJ203,0)</f>
        <v>0</v>
      </c>
      <c r="AI203" s="72"/>
      <c r="AJ203" s="51">
        <f>IF(AN203=0,K203,0)</f>
        <v>0</v>
      </c>
      <c r="AK203" s="51">
        <f>IF(AN203=15,K203,0)</f>
        <v>0</v>
      </c>
      <c r="AL203" s="51">
        <f>IF(AN203=21,K203,0)</f>
        <v>0</v>
      </c>
      <c r="AN203" s="76">
        <v>21</v>
      </c>
      <c r="AO203" s="76">
        <f>H203*0</f>
        <v>0</v>
      </c>
      <c r="AP203" s="76">
        <f>H203*(1-0)</f>
        <v>0</v>
      </c>
      <c r="AQ203" s="71" t="s">
        <v>11</v>
      </c>
      <c r="AV203" s="76">
        <f>AW203+AX203</f>
        <v>0</v>
      </c>
      <c r="AW203" s="76">
        <f>G203*AO203</f>
        <v>0</v>
      </c>
      <c r="AX203" s="76">
        <f>G203*AP203</f>
        <v>0</v>
      </c>
      <c r="AY203" s="77" t="s">
        <v>423</v>
      </c>
      <c r="AZ203" s="77" t="s">
        <v>429</v>
      </c>
      <c r="BA203" s="72" t="s">
        <v>431</v>
      </c>
      <c r="BC203" s="76">
        <f>AW203+AX203</f>
        <v>0</v>
      </c>
      <c r="BD203" s="76">
        <f>H203/(100-BE203)*100</f>
        <v>0</v>
      </c>
      <c r="BE203" s="76">
        <v>0</v>
      </c>
      <c r="BF203" s="76">
        <f>203</f>
        <v>203</v>
      </c>
      <c r="BH203" s="51">
        <f>G203*AO203</f>
        <v>0</v>
      </c>
      <c r="BI203" s="51">
        <f>G203*AP203</f>
        <v>0</v>
      </c>
      <c r="BJ203" s="51">
        <f>G203*H203</f>
        <v>0</v>
      </c>
    </row>
    <row r="204" spans="1:62" ht="12.75">
      <c r="A204" s="10" t="s">
        <v>77</v>
      </c>
      <c r="B204" s="10" t="s">
        <v>161</v>
      </c>
      <c r="C204" s="10" t="s">
        <v>352</v>
      </c>
      <c r="D204" s="41"/>
      <c r="E204" s="41"/>
      <c r="F204" s="10" t="s">
        <v>375</v>
      </c>
      <c r="G204" s="51">
        <v>79.457</v>
      </c>
      <c r="H204" s="51">
        <v>0</v>
      </c>
      <c r="I204" s="51">
        <f>G204*AO204</f>
        <v>0</v>
      </c>
      <c r="J204" s="51">
        <f>G204*AP204</f>
        <v>0</v>
      </c>
      <c r="K204" s="51">
        <f>G204*H204</f>
        <v>0</v>
      </c>
      <c r="L204" s="71" t="s">
        <v>395</v>
      </c>
      <c r="Z204" s="76">
        <f>IF(AQ204="5",BJ204,0)</f>
        <v>0</v>
      </c>
      <c r="AB204" s="76">
        <f>IF(AQ204="1",BH204,0)</f>
        <v>0</v>
      </c>
      <c r="AC204" s="76">
        <f>IF(AQ204="1",BI204,0)</f>
        <v>0</v>
      </c>
      <c r="AD204" s="76">
        <f>IF(AQ204="7",BH204,0)</f>
        <v>0</v>
      </c>
      <c r="AE204" s="76">
        <f>IF(AQ204="7",BI204,0)</f>
        <v>0</v>
      </c>
      <c r="AF204" s="76">
        <f>IF(AQ204="2",BH204,0)</f>
        <v>0</v>
      </c>
      <c r="AG204" s="76">
        <f>IF(AQ204="2",BI204,0)</f>
        <v>0</v>
      </c>
      <c r="AH204" s="76">
        <f>IF(AQ204="0",BJ204,0)</f>
        <v>0</v>
      </c>
      <c r="AI204" s="72"/>
      <c r="AJ204" s="51">
        <f>IF(AN204=0,K204,0)</f>
        <v>0</v>
      </c>
      <c r="AK204" s="51">
        <f>IF(AN204=15,K204,0)</f>
        <v>0</v>
      </c>
      <c r="AL204" s="51">
        <f>IF(AN204=21,K204,0)</f>
        <v>0</v>
      </c>
      <c r="AN204" s="76">
        <v>21</v>
      </c>
      <c r="AO204" s="76">
        <f>H204*0</f>
        <v>0</v>
      </c>
      <c r="AP204" s="76">
        <f>H204*(1-0)</f>
        <v>0</v>
      </c>
      <c r="AQ204" s="71" t="s">
        <v>11</v>
      </c>
      <c r="AV204" s="76">
        <f>AW204+AX204</f>
        <v>0</v>
      </c>
      <c r="AW204" s="76">
        <f>G204*AO204</f>
        <v>0</v>
      </c>
      <c r="AX204" s="76">
        <f>G204*AP204</f>
        <v>0</v>
      </c>
      <c r="AY204" s="77" t="s">
        <v>423</v>
      </c>
      <c r="AZ204" s="77" t="s">
        <v>429</v>
      </c>
      <c r="BA204" s="72" t="s">
        <v>431</v>
      </c>
      <c r="BC204" s="76">
        <f>AW204+AX204</f>
        <v>0</v>
      </c>
      <c r="BD204" s="76">
        <f>H204/(100-BE204)*100</f>
        <v>0</v>
      </c>
      <c r="BE204" s="76">
        <v>0</v>
      </c>
      <c r="BF204" s="76">
        <f>204</f>
        <v>204</v>
      </c>
      <c r="BH204" s="51">
        <f>G204*AO204</f>
        <v>0</v>
      </c>
      <c r="BI204" s="51">
        <f>G204*AP204</f>
        <v>0</v>
      </c>
      <c r="BJ204" s="51">
        <f>G204*H204</f>
        <v>0</v>
      </c>
    </row>
    <row r="205" spans="3:7" ht="12.75">
      <c r="C205" s="32" t="s">
        <v>353</v>
      </c>
      <c r="D205" s="42"/>
      <c r="E205" s="42"/>
      <c r="G205" s="52">
        <v>79.457</v>
      </c>
    </row>
    <row r="206" spans="1:62" ht="12.75">
      <c r="A206" s="10" t="s">
        <v>78</v>
      </c>
      <c r="B206" s="10" t="s">
        <v>162</v>
      </c>
      <c r="C206" s="10" t="s">
        <v>354</v>
      </c>
      <c r="D206" s="41"/>
      <c r="E206" s="41"/>
      <c r="F206" s="10" t="s">
        <v>375</v>
      </c>
      <c r="G206" s="51">
        <v>133.65</v>
      </c>
      <c r="H206" s="51">
        <v>0</v>
      </c>
      <c r="I206" s="51">
        <f>G206*AO206</f>
        <v>0</v>
      </c>
      <c r="J206" s="51">
        <f>G206*AP206</f>
        <v>0</v>
      </c>
      <c r="K206" s="51">
        <f>G206*H206</f>
        <v>0</v>
      </c>
      <c r="L206" s="71" t="s">
        <v>393</v>
      </c>
      <c r="Z206" s="76">
        <f>IF(AQ206="5",BJ206,0)</f>
        <v>0</v>
      </c>
      <c r="AB206" s="76">
        <f>IF(AQ206="1",BH206,0)</f>
        <v>0</v>
      </c>
      <c r="AC206" s="76">
        <f>IF(AQ206="1",BI206,0)</f>
        <v>0</v>
      </c>
      <c r="AD206" s="76">
        <f>IF(AQ206="7",BH206,0)</f>
        <v>0</v>
      </c>
      <c r="AE206" s="76">
        <f>IF(AQ206="7",BI206,0)</f>
        <v>0</v>
      </c>
      <c r="AF206" s="76">
        <f>IF(AQ206="2",BH206,0)</f>
        <v>0</v>
      </c>
      <c r="AG206" s="76">
        <f>IF(AQ206="2",BI206,0)</f>
        <v>0</v>
      </c>
      <c r="AH206" s="76">
        <f>IF(AQ206="0",BJ206,0)</f>
        <v>0</v>
      </c>
      <c r="AI206" s="72"/>
      <c r="AJ206" s="51">
        <f>IF(AN206=0,K206,0)</f>
        <v>0</v>
      </c>
      <c r="AK206" s="51">
        <f>IF(AN206=15,K206,0)</f>
        <v>0</v>
      </c>
      <c r="AL206" s="51">
        <f>IF(AN206=21,K206,0)</f>
        <v>0</v>
      </c>
      <c r="AN206" s="76">
        <v>21</v>
      </c>
      <c r="AO206" s="76">
        <f>H206*0</f>
        <v>0</v>
      </c>
      <c r="AP206" s="76">
        <f>H206*(1-0)</f>
        <v>0</v>
      </c>
      <c r="AQ206" s="71" t="s">
        <v>11</v>
      </c>
      <c r="AV206" s="76">
        <f>AW206+AX206</f>
        <v>0</v>
      </c>
      <c r="AW206" s="76">
        <f>G206*AO206</f>
        <v>0</v>
      </c>
      <c r="AX206" s="76">
        <f>G206*AP206</f>
        <v>0</v>
      </c>
      <c r="AY206" s="77" t="s">
        <v>423</v>
      </c>
      <c r="AZ206" s="77" t="s">
        <v>429</v>
      </c>
      <c r="BA206" s="72" t="s">
        <v>431</v>
      </c>
      <c r="BC206" s="76">
        <f>AW206+AX206</f>
        <v>0</v>
      </c>
      <c r="BD206" s="76">
        <f>H206/(100-BE206)*100</f>
        <v>0</v>
      </c>
      <c r="BE206" s="76">
        <v>0</v>
      </c>
      <c r="BF206" s="76">
        <f>206</f>
        <v>206</v>
      </c>
      <c r="BH206" s="51">
        <f>G206*AO206</f>
        <v>0</v>
      </c>
      <c r="BI206" s="51">
        <f>G206*AP206</f>
        <v>0</v>
      </c>
      <c r="BJ206" s="51">
        <f>G206*H206</f>
        <v>0</v>
      </c>
    </row>
    <row r="207" spans="3:7" ht="12.75">
      <c r="C207" s="32" t="s">
        <v>355</v>
      </c>
      <c r="D207" s="42"/>
      <c r="E207" s="42"/>
      <c r="G207" s="52">
        <v>133.65</v>
      </c>
    </row>
    <row r="208" spans="2:12" ht="12.75">
      <c r="B208" s="24" t="s">
        <v>85</v>
      </c>
      <c r="C208" s="33" t="s">
        <v>356</v>
      </c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62" ht="12.75">
      <c r="A209" s="10" t="s">
        <v>79</v>
      </c>
      <c r="B209" s="10" t="s">
        <v>163</v>
      </c>
      <c r="C209" s="10" t="s">
        <v>357</v>
      </c>
      <c r="D209" s="41"/>
      <c r="E209" s="41"/>
      <c r="F209" s="10" t="s">
        <v>375</v>
      </c>
      <c r="G209" s="51">
        <v>620.66848</v>
      </c>
      <c r="H209" s="51">
        <v>0</v>
      </c>
      <c r="I209" s="51">
        <f>G209*AO209</f>
        <v>0</v>
      </c>
      <c r="J209" s="51">
        <f>G209*AP209</f>
        <v>0</v>
      </c>
      <c r="K209" s="51">
        <f>G209*H209</f>
        <v>0</v>
      </c>
      <c r="L209" s="71" t="s">
        <v>393</v>
      </c>
      <c r="Z209" s="76">
        <f>IF(AQ209="5",BJ209,0)</f>
        <v>0</v>
      </c>
      <c r="AB209" s="76">
        <f>IF(AQ209="1",BH209,0)</f>
        <v>0</v>
      </c>
      <c r="AC209" s="76">
        <f>IF(AQ209="1",BI209,0)</f>
        <v>0</v>
      </c>
      <c r="AD209" s="76">
        <f>IF(AQ209="7",BH209,0)</f>
        <v>0</v>
      </c>
      <c r="AE209" s="76">
        <f>IF(AQ209="7",BI209,0)</f>
        <v>0</v>
      </c>
      <c r="AF209" s="76">
        <f>IF(AQ209="2",BH209,0)</f>
        <v>0</v>
      </c>
      <c r="AG209" s="76">
        <f>IF(AQ209="2",BI209,0)</f>
        <v>0</v>
      </c>
      <c r="AH209" s="76">
        <f>IF(AQ209="0",BJ209,0)</f>
        <v>0</v>
      </c>
      <c r="AI209" s="72"/>
      <c r="AJ209" s="51">
        <f>IF(AN209=0,K209,0)</f>
        <v>0</v>
      </c>
      <c r="AK209" s="51">
        <f>IF(AN209=15,K209,0)</f>
        <v>0</v>
      </c>
      <c r="AL209" s="51">
        <f>IF(AN209=21,K209,0)</f>
        <v>0</v>
      </c>
      <c r="AN209" s="76">
        <v>21</v>
      </c>
      <c r="AO209" s="76">
        <f>H209*0</f>
        <v>0</v>
      </c>
      <c r="AP209" s="76">
        <f>H209*(1-0)</f>
        <v>0</v>
      </c>
      <c r="AQ209" s="71" t="s">
        <v>11</v>
      </c>
      <c r="AV209" s="76">
        <f>AW209+AX209</f>
        <v>0</v>
      </c>
      <c r="AW209" s="76">
        <f>G209*AO209</f>
        <v>0</v>
      </c>
      <c r="AX209" s="76">
        <f>G209*AP209</f>
        <v>0</v>
      </c>
      <c r="AY209" s="77" t="s">
        <v>423</v>
      </c>
      <c r="AZ209" s="77" t="s">
        <v>429</v>
      </c>
      <c r="BA209" s="72" t="s">
        <v>431</v>
      </c>
      <c r="BC209" s="76">
        <f>AW209+AX209</f>
        <v>0</v>
      </c>
      <c r="BD209" s="76">
        <f>H209/(100-BE209)*100</f>
        <v>0</v>
      </c>
      <c r="BE209" s="76">
        <v>0</v>
      </c>
      <c r="BF209" s="76">
        <f>209</f>
        <v>209</v>
      </c>
      <c r="BH209" s="51">
        <f>G209*AO209</f>
        <v>0</v>
      </c>
      <c r="BI209" s="51">
        <f>G209*AP209</f>
        <v>0</v>
      </c>
      <c r="BJ209" s="51">
        <f>G209*H209</f>
        <v>0</v>
      </c>
    </row>
    <row r="210" spans="1:47" ht="12.75">
      <c r="A210" s="11"/>
      <c r="B210" s="25"/>
      <c r="C210" s="25" t="s">
        <v>358</v>
      </c>
      <c r="D210" s="44"/>
      <c r="E210" s="44"/>
      <c r="F210" s="11" t="s">
        <v>6</v>
      </c>
      <c r="G210" s="11" t="s">
        <v>6</v>
      </c>
      <c r="H210" s="11" t="s">
        <v>6</v>
      </c>
      <c r="I210" s="79">
        <f>SUM(I211:I213)</f>
        <v>0</v>
      </c>
      <c r="J210" s="79">
        <f>SUM(J211:J213)</f>
        <v>0</v>
      </c>
      <c r="K210" s="79">
        <f>SUM(K211:K213)</f>
        <v>0</v>
      </c>
      <c r="L210" s="72"/>
      <c r="AI210" s="72"/>
      <c r="AS210" s="79">
        <f>SUM(AJ211:AJ213)</f>
        <v>0</v>
      </c>
      <c r="AT210" s="79">
        <f>SUM(AK211:AK213)</f>
        <v>0</v>
      </c>
      <c r="AU210" s="79">
        <f>SUM(AL211:AL213)</f>
        <v>0</v>
      </c>
    </row>
    <row r="211" spans="1:62" ht="12.75">
      <c r="A211" s="12" t="s">
        <v>80</v>
      </c>
      <c r="B211" s="12" t="s">
        <v>164</v>
      </c>
      <c r="C211" s="12" t="s">
        <v>359</v>
      </c>
      <c r="D211" s="45"/>
      <c r="E211" s="45"/>
      <c r="F211" s="12" t="s">
        <v>374</v>
      </c>
      <c r="G211" s="53">
        <v>2</v>
      </c>
      <c r="H211" s="53">
        <v>0</v>
      </c>
      <c r="I211" s="53">
        <f>G211*AO211</f>
        <v>0</v>
      </c>
      <c r="J211" s="53">
        <f>G211*AP211</f>
        <v>0</v>
      </c>
      <c r="K211" s="53">
        <f>G211*H211</f>
        <v>0</v>
      </c>
      <c r="L211" s="73" t="s">
        <v>394</v>
      </c>
      <c r="Z211" s="76">
        <f>IF(AQ211="5",BJ211,0)</f>
        <v>0</v>
      </c>
      <c r="AB211" s="76">
        <f>IF(AQ211="1",BH211,0)</f>
        <v>0</v>
      </c>
      <c r="AC211" s="76">
        <f>IF(AQ211="1",BI211,0)</f>
        <v>0</v>
      </c>
      <c r="AD211" s="76">
        <f>IF(AQ211="7",BH211,0)</f>
        <v>0</v>
      </c>
      <c r="AE211" s="76">
        <f>IF(AQ211="7",BI211,0)</f>
        <v>0</v>
      </c>
      <c r="AF211" s="76">
        <f>IF(AQ211="2",BH211,0)</f>
        <v>0</v>
      </c>
      <c r="AG211" s="76">
        <f>IF(AQ211="2",BI211,0)</f>
        <v>0</v>
      </c>
      <c r="AH211" s="76">
        <f>IF(AQ211="0",BJ211,0)</f>
        <v>0</v>
      </c>
      <c r="AI211" s="72"/>
      <c r="AJ211" s="53">
        <f>IF(AN211=0,K211,0)</f>
        <v>0</v>
      </c>
      <c r="AK211" s="53">
        <f>IF(AN211=15,K211,0)</f>
        <v>0</v>
      </c>
      <c r="AL211" s="53">
        <f>IF(AN211=21,K211,0)</f>
        <v>0</v>
      </c>
      <c r="AN211" s="76">
        <v>21</v>
      </c>
      <c r="AO211" s="76">
        <f>H211*1</f>
        <v>0</v>
      </c>
      <c r="AP211" s="76">
        <f>H211*(1-1)</f>
        <v>0</v>
      </c>
      <c r="AQ211" s="73" t="s">
        <v>405</v>
      </c>
      <c r="AV211" s="76">
        <f>AW211+AX211</f>
        <v>0</v>
      </c>
      <c r="AW211" s="76">
        <f>G211*AO211</f>
        <v>0</v>
      </c>
      <c r="AX211" s="76">
        <f>G211*AP211</f>
        <v>0</v>
      </c>
      <c r="AY211" s="77" t="s">
        <v>424</v>
      </c>
      <c r="AZ211" s="77" t="s">
        <v>430</v>
      </c>
      <c r="BA211" s="72" t="s">
        <v>431</v>
      </c>
      <c r="BC211" s="76">
        <f>AW211+AX211</f>
        <v>0</v>
      </c>
      <c r="BD211" s="76">
        <f>H211/(100-BE211)*100</f>
        <v>0</v>
      </c>
      <c r="BE211" s="76">
        <v>0</v>
      </c>
      <c r="BF211" s="76">
        <f>211</f>
        <v>211</v>
      </c>
      <c r="BH211" s="53">
        <f>G211*AO211</f>
        <v>0</v>
      </c>
      <c r="BI211" s="53">
        <f>G211*AP211</f>
        <v>0</v>
      </c>
      <c r="BJ211" s="53">
        <f>G211*H211</f>
        <v>0</v>
      </c>
    </row>
    <row r="212" spans="3:7" ht="12.75">
      <c r="C212" s="32" t="s">
        <v>360</v>
      </c>
      <c r="D212" s="42"/>
      <c r="E212" s="42"/>
      <c r="G212" s="52">
        <v>0</v>
      </c>
    </row>
    <row r="213" spans="1:62" ht="12.75">
      <c r="A213" s="12" t="s">
        <v>81</v>
      </c>
      <c r="B213" s="12" t="s">
        <v>165</v>
      </c>
      <c r="C213" s="12" t="s">
        <v>361</v>
      </c>
      <c r="D213" s="45"/>
      <c r="E213" s="45"/>
      <c r="F213" s="12" t="s">
        <v>374</v>
      </c>
      <c r="G213" s="53">
        <v>2</v>
      </c>
      <c r="H213" s="53">
        <v>0</v>
      </c>
      <c r="I213" s="53">
        <f>G213*AO213</f>
        <v>0</v>
      </c>
      <c r="J213" s="53">
        <f>G213*AP213</f>
        <v>0</v>
      </c>
      <c r="K213" s="53">
        <f>G213*H213</f>
        <v>0</v>
      </c>
      <c r="L213" s="73" t="s">
        <v>394</v>
      </c>
      <c r="Z213" s="76">
        <f>IF(AQ213="5",BJ213,0)</f>
        <v>0</v>
      </c>
      <c r="AB213" s="76">
        <f>IF(AQ213="1",BH213,0)</f>
        <v>0</v>
      </c>
      <c r="AC213" s="76">
        <f>IF(AQ213="1",BI213,0)</f>
        <v>0</v>
      </c>
      <c r="AD213" s="76">
        <f>IF(AQ213="7",BH213,0)</f>
        <v>0</v>
      </c>
      <c r="AE213" s="76">
        <f>IF(AQ213="7",BI213,0)</f>
        <v>0</v>
      </c>
      <c r="AF213" s="76">
        <f>IF(AQ213="2",BH213,0)</f>
        <v>0</v>
      </c>
      <c r="AG213" s="76">
        <f>IF(AQ213="2",BI213,0)</f>
        <v>0</v>
      </c>
      <c r="AH213" s="76">
        <f>IF(AQ213="0",BJ213,0)</f>
        <v>0</v>
      </c>
      <c r="AI213" s="72"/>
      <c r="AJ213" s="53">
        <f>IF(AN213=0,K213,0)</f>
        <v>0</v>
      </c>
      <c r="AK213" s="53">
        <f>IF(AN213=15,K213,0)</f>
        <v>0</v>
      </c>
      <c r="AL213" s="53">
        <f>IF(AN213=21,K213,0)</f>
        <v>0</v>
      </c>
      <c r="AN213" s="76">
        <v>21</v>
      </c>
      <c r="AO213" s="76">
        <f>H213*1</f>
        <v>0</v>
      </c>
      <c r="AP213" s="76">
        <f>H213*(1-1)</f>
        <v>0</v>
      </c>
      <c r="AQ213" s="73" t="s">
        <v>405</v>
      </c>
      <c r="AV213" s="76">
        <f>AW213+AX213</f>
        <v>0</v>
      </c>
      <c r="AW213" s="76">
        <f>G213*AO213</f>
        <v>0</v>
      </c>
      <c r="AX213" s="76">
        <f>G213*AP213</f>
        <v>0</v>
      </c>
      <c r="AY213" s="77" t="s">
        <v>424</v>
      </c>
      <c r="AZ213" s="77" t="s">
        <v>430</v>
      </c>
      <c r="BA213" s="72" t="s">
        <v>431</v>
      </c>
      <c r="BC213" s="76">
        <f>AW213+AX213</f>
        <v>0</v>
      </c>
      <c r="BD213" s="76">
        <f>H213/(100-BE213)*100</f>
        <v>0</v>
      </c>
      <c r="BE213" s="76">
        <v>0</v>
      </c>
      <c r="BF213" s="76">
        <f>213</f>
        <v>213</v>
      </c>
      <c r="BH213" s="53">
        <f>G213*AO213</f>
        <v>0</v>
      </c>
      <c r="BI213" s="53">
        <f>G213*AP213</f>
        <v>0</v>
      </c>
      <c r="BJ213" s="53">
        <f>G213*H213</f>
        <v>0</v>
      </c>
    </row>
    <row r="214" spans="3:7" ht="12.75">
      <c r="C214" s="32" t="s">
        <v>362</v>
      </c>
      <c r="D214" s="42"/>
      <c r="E214" s="42"/>
      <c r="G214" s="52">
        <v>0</v>
      </c>
    </row>
    <row r="215" spans="1:12" ht="12.75">
      <c r="A215" s="13"/>
      <c r="B215" s="26" t="s">
        <v>85</v>
      </c>
      <c r="C215" s="35" t="s">
        <v>363</v>
      </c>
      <c r="D215" s="47"/>
      <c r="E215" s="47"/>
      <c r="F215" s="47"/>
      <c r="G215" s="47"/>
      <c r="H215" s="47"/>
      <c r="I215" s="47"/>
      <c r="J215" s="47"/>
      <c r="K215" s="47"/>
      <c r="L215" s="47"/>
    </row>
    <row r="216" spans="1:12" ht="12.75">
      <c r="A216" s="14"/>
      <c r="B216" s="14"/>
      <c r="C216" s="14"/>
      <c r="D216" s="14"/>
      <c r="E216" s="14"/>
      <c r="F216" s="14"/>
      <c r="G216" s="14"/>
      <c r="H216" s="14"/>
      <c r="I216" s="59" t="s">
        <v>388</v>
      </c>
      <c r="J216" s="62"/>
      <c r="K216" s="80">
        <f>K12+K29+K37+K58+K69+K79+K86+K95+K97+K102+K114+K120+K132+K144+K160+K163+K192+K194+K210</f>
        <v>0</v>
      </c>
      <c r="L216" s="14"/>
    </row>
    <row r="217" ht="11.25" customHeight="1">
      <c r="A217" s="15" t="s">
        <v>82</v>
      </c>
    </row>
    <row r="218" spans="1:12" ht="12.75">
      <c r="A218" s="1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</sheetData>
  <mergeCells count="234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L15"/>
    <mergeCell ref="C16:E16"/>
    <mergeCell ref="C17:E17"/>
    <mergeCell ref="C18:L18"/>
    <mergeCell ref="C19:E19"/>
    <mergeCell ref="C20:E20"/>
    <mergeCell ref="C21:L21"/>
    <mergeCell ref="C22:E22"/>
    <mergeCell ref="C23:E23"/>
    <mergeCell ref="C24:L24"/>
    <mergeCell ref="C25:E25"/>
    <mergeCell ref="C26:L26"/>
    <mergeCell ref="C27:E27"/>
    <mergeCell ref="C28:E28"/>
    <mergeCell ref="C29:E29"/>
    <mergeCell ref="C30:E30"/>
    <mergeCell ref="C31:E31"/>
    <mergeCell ref="C32:L32"/>
    <mergeCell ref="C33:E33"/>
    <mergeCell ref="C34:E34"/>
    <mergeCell ref="C35:E35"/>
    <mergeCell ref="C36:L36"/>
    <mergeCell ref="C37:E37"/>
    <mergeCell ref="C38:E38"/>
    <mergeCell ref="C39:E39"/>
    <mergeCell ref="C40:E40"/>
    <mergeCell ref="C41:L41"/>
    <mergeCell ref="C42:E42"/>
    <mergeCell ref="C43:E43"/>
    <mergeCell ref="C44:L44"/>
    <mergeCell ref="C45:E45"/>
    <mergeCell ref="C46:E46"/>
    <mergeCell ref="C47:E47"/>
    <mergeCell ref="C48:L48"/>
    <mergeCell ref="C49:E49"/>
    <mergeCell ref="C50:E50"/>
    <mergeCell ref="C51:L51"/>
    <mergeCell ref="C52:E52"/>
    <mergeCell ref="C53:E53"/>
    <mergeCell ref="C54:L54"/>
    <mergeCell ref="C55:E55"/>
    <mergeCell ref="C56:E56"/>
    <mergeCell ref="C57:L57"/>
    <mergeCell ref="C58:E58"/>
    <mergeCell ref="C59:E59"/>
    <mergeCell ref="C60:E60"/>
    <mergeCell ref="C61:E61"/>
    <mergeCell ref="C62:L62"/>
    <mergeCell ref="C63:E63"/>
    <mergeCell ref="C64:E64"/>
    <mergeCell ref="C65:E65"/>
    <mergeCell ref="C66:E66"/>
    <mergeCell ref="C67:L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L83"/>
    <mergeCell ref="C84:E84"/>
    <mergeCell ref="C85:L85"/>
    <mergeCell ref="C86:E86"/>
    <mergeCell ref="C87:E87"/>
    <mergeCell ref="C88:E88"/>
    <mergeCell ref="C89:E89"/>
    <mergeCell ref="C90:E90"/>
    <mergeCell ref="C91:L91"/>
    <mergeCell ref="C92:E92"/>
    <mergeCell ref="C93:E93"/>
    <mergeCell ref="C94:L94"/>
    <mergeCell ref="C95:E95"/>
    <mergeCell ref="C96:E96"/>
    <mergeCell ref="C97:E97"/>
    <mergeCell ref="C98:E98"/>
    <mergeCell ref="C99:L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L123"/>
    <mergeCell ref="C124:E124"/>
    <mergeCell ref="C125:E125"/>
    <mergeCell ref="C126:E126"/>
    <mergeCell ref="C127:L127"/>
    <mergeCell ref="C128:E128"/>
    <mergeCell ref="C129:E129"/>
    <mergeCell ref="C130:E130"/>
    <mergeCell ref="C131:L131"/>
    <mergeCell ref="C132:E132"/>
    <mergeCell ref="C133:E133"/>
    <mergeCell ref="C134:E134"/>
    <mergeCell ref="C135:E135"/>
    <mergeCell ref="C136:L136"/>
    <mergeCell ref="C137:E137"/>
    <mergeCell ref="C138:E138"/>
    <mergeCell ref="C139:E139"/>
    <mergeCell ref="C140:L140"/>
    <mergeCell ref="C141:E141"/>
    <mergeCell ref="C142:E142"/>
    <mergeCell ref="C143:E143"/>
    <mergeCell ref="C144:E144"/>
    <mergeCell ref="C145:E145"/>
    <mergeCell ref="C146:E146"/>
    <mergeCell ref="C147:L147"/>
    <mergeCell ref="C148:E148"/>
    <mergeCell ref="C149:E149"/>
    <mergeCell ref="C150:L150"/>
    <mergeCell ref="C151:E151"/>
    <mergeCell ref="C152:L152"/>
    <mergeCell ref="C153:E153"/>
    <mergeCell ref="C154:E154"/>
    <mergeCell ref="C155:E155"/>
    <mergeCell ref="C156:L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L167"/>
    <mergeCell ref="C168:E168"/>
    <mergeCell ref="C169:E169"/>
    <mergeCell ref="C170:E170"/>
    <mergeCell ref="C171:L171"/>
    <mergeCell ref="C172:E172"/>
    <mergeCell ref="C173:E173"/>
    <mergeCell ref="C174:E174"/>
    <mergeCell ref="C175:L175"/>
    <mergeCell ref="C176:E176"/>
    <mergeCell ref="C177:E177"/>
    <mergeCell ref="C178:E178"/>
    <mergeCell ref="C179:L179"/>
    <mergeCell ref="C180:E180"/>
    <mergeCell ref="C181:L181"/>
    <mergeCell ref="C182:E182"/>
    <mergeCell ref="C183:L183"/>
    <mergeCell ref="C184:E184"/>
    <mergeCell ref="C185:L185"/>
    <mergeCell ref="C186:E186"/>
    <mergeCell ref="C187:L187"/>
    <mergeCell ref="C188:E188"/>
    <mergeCell ref="C189:E189"/>
    <mergeCell ref="C190:E190"/>
    <mergeCell ref="C191:E191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L208"/>
    <mergeCell ref="C209:E209"/>
    <mergeCell ref="C210:E210"/>
    <mergeCell ref="C211:E211"/>
    <mergeCell ref="C212:E212"/>
    <mergeCell ref="C213:E213"/>
    <mergeCell ref="C214:E214"/>
    <mergeCell ref="C215:L215"/>
    <mergeCell ref="I216:J216"/>
    <mergeCell ref="A218:L218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pane ySplit="10" topLeftCell="A11" activePane="bottomLeft" state="frozen"/>
      <selection pane="bottomLeft" activeCell="A1" sqref="A1:F1"/>
    </sheetView>
  </sheetViews>
  <sheetFormatPr defaultColWidth="11.57421875" defaultRowHeight="12.75"/>
  <cols>
    <col min="1" max="1" width="16.57421875" customWidth="1"/>
    <col min="2" max="2" width="41.7109375" customWidth="1"/>
    <col min="4" max="4" width="22.140625" customWidth="1"/>
    <col min="5" max="5" width="21.00390625" customWidth="1"/>
    <col min="6" max="6" width="20.8515625" customWidth="1"/>
    <col min="7" max="8" width="0" hidden="1" customWidth="1"/>
  </cols>
  <sheetData>
    <row r="1" spans="1:6" ht="72.75" customHeight="1">
      <c r="A1" s="133" t="s">
        <v>435</v>
      </c>
      <c r="B1" s="17"/>
      <c r="C1" s="17"/>
      <c r="D1" s="17"/>
      <c r="E1" s="17"/>
      <c r="F1" s="17"/>
    </row>
    <row r="2" spans="1:7" ht="12.75">
      <c r="A2" s="3" t="s">
        <v>1</v>
      </c>
      <c r="B2" s="27" t="str">
        <f>'Stavební rozpočet'!C2</f>
        <v>Ulice Husova, Hybešova - parkovací stání</v>
      </c>
      <c r="C2" s="62"/>
      <c r="D2" s="54" t="s">
        <v>377</v>
      </c>
      <c r="E2" s="54" t="str">
        <f>'Stavební rozpočet'!I2</f>
        <v>Město Šlapanice</v>
      </c>
      <c r="F2" s="65"/>
      <c r="G2" s="74"/>
    </row>
    <row r="3" spans="1:7" ht="12.75">
      <c r="A3" s="4"/>
      <c r="B3" s="28"/>
      <c r="C3" s="28"/>
      <c r="D3" s="19"/>
      <c r="E3" s="19"/>
      <c r="F3" s="66"/>
      <c r="G3" s="74"/>
    </row>
    <row r="4" spans="1:7" ht="12.75">
      <c r="A4" s="5" t="s">
        <v>2</v>
      </c>
      <c r="B4" s="16" t="str">
        <f>'Stavební rozpočet'!C4</f>
        <v>SO01 Ulice Husova</v>
      </c>
      <c r="C4" s="19"/>
      <c r="D4" s="16" t="s">
        <v>378</v>
      </c>
      <c r="E4" s="16" t="str">
        <f>'Stavební rozpočet'!I4</f>
        <v>Matula, projekční kancelář, Šumavská 15, Brno, 602</v>
      </c>
      <c r="F4" s="66"/>
      <c r="G4" s="74"/>
    </row>
    <row r="5" spans="1:7" ht="12.75">
      <c r="A5" s="4"/>
      <c r="B5" s="19"/>
      <c r="C5" s="19"/>
      <c r="D5" s="19"/>
      <c r="E5" s="19"/>
      <c r="F5" s="66"/>
      <c r="G5" s="74"/>
    </row>
    <row r="6" spans="1:7" ht="12.75">
      <c r="A6" s="5" t="s">
        <v>3</v>
      </c>
      <c r="B6" s="16" t="str">
        <f>'Stavební rozpočet'!C6</f>
        <v>Šlapanice</v>
      </c>
      <c r="C6" s="19"/>
      <c r="D6" s="16" t="s">
        <v>379</v>
      </c>
      <c r="E6" s="16">
        <f>'Stavební rozpočet'!I6</f>
        <v>0</v>
      </c>
      <c r="F6" s="66"/>
      <c r="G6" s="74"/>
    </row>
    <row r="7" spans="1:7" ht="12.75">
      <c r="A7" s="4"/>
      <c r="B7" s="19"/>
      <c r="C7" s="19"/>
      <c r="D7" s="19"/>
      <c r="E7" s="19"/>
      <c r="F7" s="66"/>
      <c r="G7" s="74"/>
    </row>
    <row r="8" spans="1:7" ht="12.75">
      <c r="A8" s="5" t="s">
        <v>380</v>
      </c>
      <c r="B8" s="16" t="str">
        <f>'Stavební rozpočet'!I8</f>
        <v>Ing. Krejčíková</v>
      </c>
      <c r="C8" s="19"/>
      <c r="D8" s="37" t="s">
        <v>367</v>
      </c>
      <c r="E8" s="16" t="str">
        <f>'Stavební rozpočet'!F8</f>
        <v>04.04.2018</v>
      </c>
      <c r="F8" s="66"/>
      <c r="G8" s="74"/>
    </row>
    <row r="9" spans="1:7" ht="12.75">
      <c r="A9" s="6"/>
      <c r="B9" s="20"/>
      <c r="C9" s="20"/>
      <c r="D9" s="20"/>
      <c r="E9" s="20"/>
      <c r="F9" s="67"/>
      <c r="G9" s="74"/>
    </row>
    <row r="10" spans="1:7" ht="12.75">
      <c r="A10" s="81" t="s">
        <v>83</v>
      </c>
      <c r="B10" s="83" t="s">
        <v>436</v>
      </c>
      <c r="C10" s="84"/>
      <c r="D10" s="86" t="s">
        <v>437</v>
      </c>
      <c r="E10" s="86" t="s">
        <v>438</v>
      </c>
      <c r="F10" s="86" t="s">
        <v>439</v>
      </c>
      <c r="G10" s="74"/>
    </row>
    <row r="11" spans="1:8" ht="12.75">
      <c r="A11" s="82" t="s">
        <v>17</v>
      </c>
      <c r="B11" s="82" t="s">
        <v>171</v>
      </c>
      <c r="C11" s="85"/>
      <c r="D11" s="88">
        <f>'Stavební rozpočet'!I12</f>
        <v>0</v>
      </c>
      <c r="E11" s="88">
        <f>'Stavební rozpočet'!J12</f>
        <v>0</v>
      </c>
      <c r="F11" s="88">
        <f>'Stavební rozpočet'!K12</f>
        <v>0</v>
      </c>
      <c r="G11" s="76" t="s">
        <v>440</v>
      </c>
      <c r="H11" s="76">
        <f>IF(G11="F",0,F11)</f>
        <v>0</v>
      </c>
    </row>
    <row r="12" spans="1:8" ht="12.75">
      <c r="A12" s="37" t="s">
        <v>18</v>
      </c>
      <c r="B12" s="37" t="s">
        <v>186</v>
      </c>
      <c r="C12" s="19"/>
      <c r="D12" s="76">
        <f>'Stavební rozpočet'!I29</f>
        <v>0</v>
      </c>
      <c r="E12" s="76">
        <f>'Stavební rozpočet'!J29</f>
        <v>0</v>
      </c>
      <c r="F12" s="76">
        <f>'Stavební rozpočet'!K29</f>
        <v>0</v>
      </c>
      <c r="G12" s="76" t="s">
        <v>440</v>
      </c>
      <c r="H12" s="76">
        <f>IF(G12="F",0,F12)</f>
        <v>0</v>
      </c>
    </row>
    <row r="13" spans="1:8" ht="12.75">
      <c r="A13" s="37" t="s">
        <v>19</v>
      </c>
      <c r="B13" s="37" t="s">
        <v>194</v>
      </c>
      <c r="C13" s="19"/>
      <c r="D13" s="76">
        <f>'Stavební rozpočet'!I37</f>
        <v>0</v>
      </c>
      <c r="E13" s="76">
        <f>'Stavební rozpočet'!J37</f>
        <v>0</v>
      </c>
      <c r="F13" s="76">
        <f>'Stavební rozpočet'!K37</f>
        <v>0</v>
      </c>
      <c r="G13" s="76" t="s">
        <v>440</v>
      </c>
      <c r="H13" s="76">
        <f>IF(G13="F",0,F13)</f>
        <v>0</v>
      </c>
    </row>
    <row r="14" spans="1:8" ht="12.75">
      <c r="A14" s="37" t="s">
        <v>21</v>
      </c>
      <c r="B14" s="37" t="s">
        <v>211</v>
      </c>
      <c r="C14" s="19"/>
      <c r="D14" s="76">
        <f>'Stavební rozpočet'!I58</f>
        <v>0</v>
      </c>
      <c r="E14" s="76">
        <f>'Stavební rozpočet'!J58</f>
        <v>0</v>
      </c>
      <c r="F14" s="76">
        <f>'Stavební rozpočet'!K58</f>
        <v>0</v>
      </c>
      <c r="G14" s="76" t="s">
        <v>440</v>
      </c>
      <c r="H14" s="76">
        <f>IF(G14="F",0,F14)</f>
        <v>0</v>
      </c>
    </row>
    <row r="15" spans="1:8" ht="12.75">
      <c r="A15" s="37" t="s">
        <v>22</v>
      </c>
      <c r="B15" s="37" t="s">
        <v>221</v>
      </c>
      <c r="C15" s="19"/>
      <c r="D15" s="76">
        <f>'Stavební rozpočet'!I69</f>
        <v>0</v>
      </c>
      <c r="E15" s="76">
        <f>'Stavební rozpočet'!J69</f>
        <v>0</v>
      </c>
      <c r="F15" s="76">
        <f>'Stavební rozpočet'!K69</f>
        <v>0</v>
      </c>
      <c r="G15" s="76" t="s">
        <v>440</v>
      </c>
      <c r="H15" s="76">
        <f>IF(G15="F",0,F15)</f>
        <v>0</v>
      </c>
    </row>
    <row r="16" spans="1:8" ht="12.75">
      <c r="A16" s="37" t="s">
        <v>23</v>
      </c>
      <c r="B16" s="37" t="s">
        <v>230</v>
      </c>
      <c r="C16" s="19"/>
      <c r="D16" s="76">
        <f>'Stavební rozpočet'!I79</f>
        <v>0</v>
      </c>
      <c r="E16" s="76">
        <f>'Stavební rozpočet'!J79</f>
        <v>0</v>
      </c>
      <c r="F16" s="76">
        <f>'Stavební rozpočet'!K79</f>
        <v>0</v>
      </c>
      <c r="G16" s="76" t="s">
        <v>440</v>
      </c>
      <c r="H16" s="76">
        <f>IF(G16="F",0,F16)</f>
        <v>0</v>
      </c>
    </row>
    <row r="17" spans="1:8" ht="12.75">
      <c r="A17" s="37" t="s">
        <v>24</v>
      </c>
      <c r="B17" s="37" t="s">
        <v>237</v>
      </c>
      <c r="C17" s="19"/>
      <c r="D17" s="76">
        <f>'Stavební rozpočet'!I86</f>
        <v>0</v>
      </c>
      <c r="E17" s="76">
        <f>'Stavební rozpočet'!J86</f>
        <v>0</v>
      </c>
      <c r="F17" s="76">
        <f>'Stavební rozpočet'!K86</f>
        <v>0</v>
      </c>
      <c r="G17" s="76" t="s">
        <v>440</v>
      </c>
      <c r="H17" s="76">
        <f>IF(G17="F",0,F17)</f>
        <v>0</v>
      </c>
    </row>
    <row r="18" spans="1:8" ht="12.75">
      <c r="A18" s="37" t="s">
        <v>25</v>
      </c>
      <c r="B18" s="37" t="s">
        <v>246</v>
      </c>
      <c r="C18" s="19"/>
      <c r="D18" s="76">
        <f>'Stavební rozpočet'!I95</f>
        <v>0</v>
      </c>
      <c r="E18" s="76">
        <f>'Stavební rozpočet'!J95</f>
        <v>0</v>
      </c>
      <c r="F18" s="76">
        <f>'Stavební rozpočet'!K95</f>
        <v>0</v>
      </c>
      <c r="G18" s="76" t="s">
        <v>440</v>
      </c>
      <c r="H18" s="76">
        <f>IF(G18="F",0,F18)</f>
        <v>0</v>
      </c>
    </row>
    <row r="19" spans="1:8" ht="12.75">
      <c r="A19" s="37" t="s">
        <v>27</v>
      </c>
      <c r="B19" s="37" t="s">
        <v>248</v>
      </c>
      <c r="C19" s="19"/>
      <c r="D19" s="76">
        <f>'Stavební rozpočet'!I97</f>
        <v>0</v>
      </c>
      <c r="E19" s="76">
        <f>'Stavební rozpočet'!J97</f>
        <v>0</v>
      </c>
      <c r="F19" s="76">
        <f>'Stavební rozpočet'!K97</f>
        <v>0</v>
      </c>
      <c r="G19" s="76" t="s">
        <v>440</v>
      </c>
      <c r="H19" s="76">
        <f>IF(G19="F",0,F19)</f>
        <v>0</v>
      </c>
    </row>
    <row r="20" spans="1:8" ht="12.75">
      <c r="A20" s="37" t="s">
        <v>62</v>
      </c>
      <c r="B20" s="37" t="s">
        <v>252</v>
      </c>
      <c r="C20" s="19"/>
      <c r="D20" s="76">
        <f>'Stavební rozpočet'!I102</f>
        <v>0</v>
      </c>
      <c r="E20" s="76">
        <f>'Stavební rozpočet'!J102</f>
        <v>0</v>
      </c>
      <c r="F20" s="76">
        <f>'Stavební rozpočet'!K102</f>
        <v>0</v>
      </c>
      <c r="G20" s="76" t="s">
        <v>440</v>
      </c>
      <c r="H20" s="76">
        <f>IF(G20="F",0,F20)</f>
        <v>0</v>
      </c>
    </row>
    <row r="21" spans="1:8" ht="12.75">
      <c r="A21" s="37" t="s">
        <v>63</v>
      </c>
      <c r="B21" s="37" t="s">
        <v>264</v>
      </c>
      <c r="C21" s="19"/>
      <c r="D21" s="76">
        <f>'Stavební rozpočet'!I114</f>
        <v>0</v>
      </c>
      <c r="E21" s="76">
        <f>'Stavební rozpočet'!J114</f>
        <v>0</v>
      </c>
      <c r="F21" s="76">
        <f>'Stavební rozpočet'!K114</f>
        <v>0</v>
      </c>
      <c r="G21" s="76" t="s">
        <v>440</v>
      </c>
      <c r="H21" s="76">
        <f>IF(G21="F",0,F21)</f>
        <v>0</v>
      </c>
    </row>
    <row r="22" spans="1:8" ht="12.75">
      <c r="A22" s="37" t="s">
        <v>65</v>
      </c>
      <c r="B22" s="37" t="s">
        <v>270</v>
      </c>
      <c r="C22" s="19"/>
      <c r="D22" s="76">
        <f>'Stavební rozpočet'!I120</f>
        <v>0</v>
      </c>
      <c r="E22" s="76">
        <f>'Stavební rozpočet'!J120</f>
        <v>0</v>
      </c>
      <c r="F22" s="76">
        <f>'Stavební rozpočet'!K120</f>
        <v>0</v>
      </c>
      <c r="G22" s="76" t="s">
        <v>440</v>
      </c>
      <c r="H22" s="76">
        <f>IF(G22="F",0,F22)</f>
        <v>0</v>
      </c>
    </row>
    <row r="23" spans="1:8" ht="12.75">
      <c r="A23" s="37" t="s">
        <v>127</v>
      </c>
      <c r="B23" s="37" t="s">
        <v>282</v>
      </c>
      <c r="C23" s="19"/>
      <c r="D23" s="76">
        <f>'Stavební rozpočet'!I132</f>
        <v>0</v>
      </c>
      <c r="E23" s="76">
        <f>'Stavební rozpočet'!J132</f>
        <v>0</v>
      </c>
      <c r="F23" s="76">
        <f>'Stavební rozpočet'!K132</f>
        <v>0</v>
      </c>
      <c r="G23" s="76" t="s">
        <v>440</v>
      </c>
      <c r="H23" s="76">
        <f>IF(G23="F",0,F23)</f>
        <v>0</v>
      </c>
    </row>
    <row r="24" spans="1:8" ht="12.75">
      <c r="A24" s="37" t="s">
        <v>131</v>
      </c>
      <c r="B24" s="37" t="s">
        <v>294</v>
      </c>
      <c r="C24" s="19"/>
      <c r="D24" s="76">
        <f>'Stavební rozpočet'!I144</f>
        <v>0</v>
      </c>
      <c r="E24" s="76">
        <f>'Stavební rozpočet'!J144</f>
        <v>0</v>
      </c>
      <c r="F24" s="76">
        <f>'Stavební rozpočet'!K144</f>
        <v>0</v>
      </c>
      <c r="G24" s="76" t="s">
        <v>440</v>
      </c>
      <c r="H24" s="76">
        <f>IF(G24="F",0,F24)</f>
        <v>0</v>
      </c>
    </row>
    <row r="25" spans="1:8" ht="12.75">
      <c r="A25" s="37" t="s">
        <v>140</v>
      </c>
      <c r="B25" s="37" t="s">
        <v>310</v>
      </c>
      <c r="C25" s="19"/>
      <c r="D25" s="76">
        <f>'Stavební rozpočet'!I160</f>
        <v>0</v>
      </c>
      <c r="E25" s="76">
        <f>'Stavební rozpočet'!J160</f>
        <v>0</v>
      </c>
      <c r="F25" s="76">
        <f>'Stavební rozpočet'!K160</f>
        <v>0</v>
      </c>
      <c r="G25" s="76" t="s">
        <v>440</v>
      </c>
      <c r="H25" s="76">
        <f>IF(G25="F",0,F25)</f>
        <v>0</v>
      </c>
    </row>
    <row r="26" spans="1:8" ht="12.75">
      <c r="A26" s="37" t="s">
        <v>142</v>
      </c>
      <c r="B26" s="37" t="s">
        <v>313</v>
      </c>
      <c r="C26" s="19"/>
      <c r="D26" s="76">
        <f>'Stavební rozpočet'!I163</f>
        <v>0</v>
      </c>
      <c r="E26" s="76">
        <f>'Stavební rozpočet'!J163</f>
        <v>0</v>
      </c>
      <c r="F26" s="76">
        <f>'Stavební rozpočet'!K163</f>
        <v>0</v>
      </c>
      <c r="G26" s="76" t="s">
        <v>440</v>
      </c>
      <c r="H26" s="76">
        <f>IF(G26="F",0,F26)</f>
        <v>0</v>
      </c>
    </row>
    <row r="27" spans="1:8" ht="12.75">
      <c r="A27" s="37" t="s">
        <v>154</v>
      </c>
      <c r="B27" s="37" t="s">
        <v>340</v>
      </c>
      <c r="C27" s="19"/>
      <c r="D27" s="76">
        <f>'Stavební rozpočet'!I192</f>
        <v>0</v>
      </c>
      <c r="E27" s="76">
        <f>'Stavební rozpočet'!J192</f>
        <v>0</v>
      </c>
      <c r="F27" s="76">
        <f>'Stavební rozpočet'!K192</f>
        <v>0</v>
      </c>
      <c r="G27" s="76" t="s">
        <v>440</v>
      </c>
      <c r="H27" s="76">
        <f>IF(G27="F",0,F27)</f>
        <v>0</v>
      </c>
    </row>
    <row r="28" spans="1:8" ht="12.75">
      <c r="A28" s="37" t="s">
        <v>156</v>
      </c>
      <c r="B28" s="37" t="s">
        <v>342</v>
      </c>
      <c r="C28" s="19"/>
      <c r="D28" s="76">
        <f>'Stavební rozpočet'!I194</f>
        <v>0</v>
      </c>
      <c r="E28" s="76">
        <f>'Stavební rozpočet'!J194</f>
        <v>0</v>
      </c>
      <c r="F28" s="76">
        <f>'Stavební rozpočet'!K194</f>
        <v>0</v>
      </c>
      <c r="G28" s="76" t="s">
        <v>440</v>
      </c>
      <c r="H28" s="76">
        <f>IF(G28="F",0,F28)</f>
        <v>0</v>
      </c>
    </row>
    <row r="29" spans="1:8" ht="12.75">
      <c r="A29" s="37"/>
      <c r="B29" s="37" t="s">
        <v>358</v>
      </c>
      <c r="C29" s="19"/>
      <c r="D29" s="76">
        <f>'Stavební rozpočet'!I210</f>
        <v>0</v>
      </c>
      <c r="E29" s="76">
        <f>'Stavební rozpočet'!J210</f>
        <v>0</v>
      </c>
      <c r="F29" s="76">
        <f>'Stavební rozpočet'!K210</f>
        <v>0</v>
      </c>
      <c r="G29" s="76" t="s">
        <v>440</v>
      </c>
      <c r="H29" s="76">
        <f>IF(G29="F",0,F29)</f>
        <v>0</v>
      </c>
    </row>
    <row r="31" spans="5:6" ht="12.75">
      <c r="E31" s="87" t="s">
        <v>388</v>
      </c>
      <c r="F31" s="89">
        <f>SUM(H11:H29)</f>
        <v>0</v>
      </c>
    </row>
  </sheetData>
  <mergeCells count="37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32"/>
      <c r="B1" s="13"/>
      <c r="C1" s="112" t="s">
        <v>455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7" t="str">
        <f>'Stavební rozpočet'!C2</f>
        <v>Ulice Husova, Hybešova - parkovací stání</v>
      </c>
      <c r="D2" s="62"/>
      <c r="E2" s="54" t="s">
        <v>377</v>
      </c>
      <c r="F2" s="54" t="str">
        <f>'Stavební rozpočet'!I2</f>
        <v>Město Šlapanice</v>
      </c>
      <c r="G2" s="18"/>
      <c r="H2" s="54" t="s">
        <v>480</v>
      </c>
      <c r="I2" s="126"/>
      <c r="J2" s="74"/>
    </row>
    <row r="3" spans="1:10" ht="12.75">
      <c r="A3" s="4"/>
      <c r="B3" s="19"/>
      <c r="C3" s="28"/>
      <c r="D3" s="28"/>
      <c r="E3" s="19"/>
      <c r="F3" s="19"/>
      <c r="G3" s="19"/>
      <c r="H3" s="19"/>
      <c r="I3" s="66"/>
      <c r="J3" s="74"/>
    </row>
    <row r="4" spans="1:10" ht="12.75">
      <c r="A4" s="5" t="s">
        <v>2</v>
      </c>
      <c r="B4" s="19"/>
      <c r="C4" s="16" t="str">
        <f>'Stavební rozpočet'!C4</f>
        <v>SO01 Ulice Husova</v>
      </c>
      <c r="D4" s="19"/>
      <c r="E4" s="16" t="s">
        <v>378</v>
      </c>
      <c r="F4" s="16" t="str">
        <f>'Stavební rozpočet'!I4</f>
        <v>Matula, projekční kancelář, Šumavská 15, Brno, 602</v>
      </c>
      <c r="G4" s="19"/>
      <c r="H4" s="16" t="s">
        <v>480</v>
      </c>
      <c r="I4" s="127"/>
      <c r="J4" s="74"/>
    </row>
    <row r="5" spans="1:10" ht="12.75">
      <c r="A5" s="4"/>
      <c r="B5" s="19"/>
      <c r="C5" s="19"/>
      <c r="D5" s="19"/>
      <c r="E5" s="19"/>
      <c r="F5" s="19"/>
      <c r="G5" s="19"/>
      <c r="H5" s="19"/>
      <c r="I5" s="66"/>
      <c r="J5" s="74"/>
    </row>
    <row r="6" spans="1:10" ht="12.75">
      <c r="A6" s="5" t="s">
        <v>3</v>
      </c>
      <c r="B6" s="19"/>
      <c r="C6" s="16" t="str">
        <f>'Stavební rozpočet'!C6</f>
        <v>Šlapanice</v>
      </c>
      <c r="D6" s="19"/>
      <c r="E6" s="16" t="s">
        <v>379</v>
      </c>
      <c r="F6" s="16">
        <f>'Stavební rozpočet'!I6</f>
        <v>0</v>
      </c>
      <c r="G6" s="19"/>
      <c r="H6" s="16" t="s">
        <v>480</v>
      </c>
      <c r="I6" s="127"/>
      <c r="J6" s="74"/>
    </row>
    <row r="7" spans="1:10" ht="12.75">
      <c r="A7" s="4"/>
      <c r="B7" s="19"/>
      <c r="C7" s="19"/>
      <c r="D7" s="19"/>
      <c r="E7" s="19"/>
      <c r="F7" s="19"/>
      <c r="G7" s="19"/>
      <c r="H7" s="19"/>
      <c r="I7" s="66"/>
      <c r="J7" s="74"/>
    </row>
    <row r="8" spans="1:10" ht="12.75">
      <c r="A8" s="5" t="s">
        <v>365</v>
      </c>
      <c r="B8" s="19"/>
      <c r="C8" s="16" t="str">
        <f>'Stavební rozpočet'!F4</f>
        <v> </v>
      </c>
      <c r="D8" s="19"/>
      <c r="E8" s="16" t="s">
        <v>366</v>
      </c>
      <c r="F8" s="16" t="str">
        <f>'Stavební rozpočet'!F6</f>
        <v> </v>
      </c>
      <c r="G8" s="19"/>
      <c r="H8" s="37" t="s">
        <v>481</v>
      </c>
      <c r="I8" s="127" t="s">
        <v>81</v>
      </c>
      <c r="J8" s="74"/>
    </row>
    <row r="9" spans="1:10" ht="12.75">
      <c r="A9" s="4"/>
      <c r="B9" s="19"/>
      <c r="C9" s="19"/>
      <c r="D9" s="19"/>
      <c r="E9" s="19"/>
      <c r="F9" s="19"/>
      <c r="G9" s="19"/>
      <c r="H9" s="19"/>
      <c r="I9" s="66"/>
      <c r="J9" s="74"/>
    </row>
    <row r="10" spans="1:10" ht="12.75">
      <c r="A10" s="5" t="s">
        <v>4</v>
      </c>
      <c r="B10" s="19"/>
      <c r="C10" s="16">
        <f>'Stavební rozpočet'!C8</f>
        <v>0</v>
      </c>
      <c r="D10" s="19"/>
      <c r="E10" s="16" t="s">
        <v>380</v>
      </c>
      <c r="F10" s="16" t="str">
        <f>'Stavební rozpočet'!I8</f>
        <v>Ing. Krejčíková</v>
      </c>
      <c r="G10" s="19"/>
      <c r="H10" s="37" t="s">
        <v>482</v>
      </c>
      <c r="I10" s="131" t="str">
        <f>'Stavební rozpočet'!F8</f>
        <v>04.04.2018</v>
      </c>
      <c r="J10" s="74"/>
    </row>
    <row r="11" spans="1:10" ht="12.75">
      <c r="A11" s="90"/>
      <c r="B11" s="102"/>
      <c r="C11" s="102"/>
      <c r="D11" s="102"/>
      <c r="E11" s="102"/>
      <c r="F11" s="102"/>
      <c r="G11" s="102"/>
      <c r="H11" s="102"/>
      <c r="I11" s="128"/>
      <c r="J11" s="74"/>
    </row>
    <row r="12" spans="1:9" ht="23.25" customHeight="1">
      <c r="A12" s="91" t="s">
        <v>441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92" t="s">
        <v>442</v>
      </c>
      <c r="B13" s="104" t="s">
        <v>453</v>
      </c>
      <c r="C13" s="113"/>
      <c r="D13" s="92" t="s">
        <v>456</v>
      </c>
      <c r="E13" s="104" t="s">
        <v>465</v>
      </c>
      <c r="F13" s="113"/>
      <c r="G13" s="92" t="s">
        <v>466</v>
      </c>
      <c r="H13" s="104" t="s">
        <v>483</v>
      </c>
      <c r="I13" s="113"/>
      <c r="J13" s="74"/>
    </row>
    <row r="14" spans="1:10" ht="15" customHeight="1">
      <c r="A14" s="93" t="s">
        <v>443</v>
      </c>
      <c r="B14" s="105" t="s">
        <v>454</v>
      </c>
      <c r="C14" s="121">
        <f>SUM('Stavební rozpočet'!AB12:AB215)</f>
        <v>0</v>
      </c>
      <c r="D14" s="118" t="s">
        <v>457</v>
      </c>
      <c r="E14" s="120"/>
      <c r="F14" s="121">
        <v>0</v>
      </c>
      <c r="G14" s="118" t="s">
        <v>467</v>
      </c>
      <c r="H14" s="120"/>
      <c r="I14" s="121">
        <v>0</v>
      </c>
      <c r="J14" s="74"/>
    </row>
    <row r="15" spans="1:10" ht="15" customHeight="1">
      <c r="A15" s="94"/>
      <c r="B15" s="105" t="s">
        <v>389</v>
      </c>
      <c r="C15" s="121">
        <f>SUM('Stavební rozpočet'!AC12:AC215)</f>
        <v>0</v>
      </c>
      <c r="D15" s="118" t="s">
        <v>458</v>
      </c>
      <c r="E15" s="120"/>
      <c r="F15" s="121">
        <v>0</v>
      </c>
      <c r="G15" s="118" t="s">
        <v>468</v>
      </c>
      <c r="H15" s="120"/>
      <c r="I15" s="121">
        <v>0</v>
      </c>
      <c r="J15" s="74"/>
    </row>
    <row r="16" spans="1:10" ht="15" customHeight="1">
      <c r="A16" s="93" t="s">
        <v>444</v>
      </c>
      <c r="B16" s="105" t="s">
        <v>454</v>
      </c>
      <c r="C16" s="121">
        <f>SUM('Stavební rozpočet'!AD12:AD215)</f>
        <v>0</v>
      </c>
      <c r="D16" s="118" t="s">
        <v>459</v>
      </c>
      <c r="E16" s="120"/>
      <c r="F16" s="121">
        <v>0</v>
      </c>
      <c r="G16" s="118" t="s">
        <v>469</v>
      </c>
      <c r="H16" s="120"/>
      <c r="I16" s="121">
        <v>0</v>
      </c>
      <c r="J16" s="74"/>
    </row>
    <row r="17" spans="1:10" ht="15" customHeight="1">
      <c r="A17" s="94"/>
      <c r="B17" s="105" t="s">
        <v>389</v>
      </c>
      <c r="C17" s="121">
        <f>SUM('Stavební rozpočet'!AE12:AE215)</f>
        <v>0</v>
      </c>
      <c r="D17" s="118"/>
      <c r="E17" s="120"/>
      <c r="F17" s="122"/>
      <c r="G17" s="118" t="s">
        <v>470</v>
      </c>
      <c r="H17" s="120"/>
      <c r="I17" s="121">
        <v>0</v>
      </c>
      <c r="J17" s="74"/>
    </row>
    <row r="18" spans="1:10" ht="15" customHeight="1">
      <c r="A18" s="93" t="s">
        <v>445</v>
      </c>
      <c r="B18" s="105" t="s">
        <v>454</v>
      </c>
      <c r="C18" s="121">
        <f>SUM('Stavební rozpočet'!AF12:AF215)</f>
        <v>0</v>
      </c>
      <c r="D18" s="118"/>
      <c r="E18" s="120"/>
      <c r="F18" s="122"/>
      <c r="G18" s="118" t="s">
        <v>471</v>
      </c>
      <c r="H18" s="120"/>
      <c r="I18" s="121">
        <v>0</v>
      </c>
      <c r="J18" s="74"/>
    </row>
    <row r="19" spans="1:10" ht="15" customHeight="1">
      <c r="A19" s="94"/>
      <c r="B19" s="105" t="s">
        <v>389</v>
      </c>
      <c r="C19" s="121">
        <f>SUM('Stavební rozpočet'!AG12:AG215)</f>
        <v>0</v>
      </c>
      <c r="D19" s="118"/>
      <c r="E19" s="120"/>
      <c r="F19" s="122"/>
      <c r="G19" s="118" t="s">
        <v>472</v>
      </c>
      <c r="H19" s="120"/>
      <c r="I19" s="121">
        <v>0</v>
      </c>
      <c r="J19" s="74"/>
    </row>
    <row r="20" spans="1:10" ht="15" customHeight="1">
      <c r="A20" s="95" t="s">
        <v>358</v>
      </c>
      <c r="B20" s="106"/>
      <c r="C20" s="121">
        <f>SUM('Stavební rozpočet'!AH12:AH215)</f>
        <v>0</v>
      </c>
      <c r="D20" s="118"/>
      <c r="E20" s="120"/>
      <c r="F20" s="122"/>
      <c r="G20" s="118"/>
      <c r="H20" s="120"/>
      <c r="I20" s="122"/>
      <c r="J20" s="74"/>
    </row>
    <row r="21" spans="1:10" ht="15" customHeight="1">
      <c r="A21" s="95" t="s">
        <v>446</v>
      </c>
      <c r="B21" s="106"/>
      <c r="C21" s="121">
        <f>SUM('Stavební rozpočet'!Z12:Z215)</f>
        <v>0</v>
      </c>
      <c r="D21" s="118"/>
      <c r="E21" s="120"/>
      <c r="F21" s="122"/>
      <c r="G21" s="118"/>
      <c r="H21" s="120"/>
      <c r="I21" s="122"/>
      <c r="J21" s="74"/>
    </row>
    <row r="22" spans="1:10" ht="16.5" customHeight="1">
      <c r="A22" s="95" t="s">
        <v>447</v>
      </c>
      <c r="B22" s="106"/>
      <c r="C22" s="121">
        <f>SUM(C14:C21)</f>
        <v>0</v>
      </c>
      <c r="D22" s="95" t="s">
        <v>460</v>
      </c>
      <c r="E22" s="106"/>
      <c r="F22" s="121">
        <f>SUM(F14:F21)</f>
        <v>0</v>
      </c>
      <c r="G22" s="95" t="s">
        <v>473</v>
      </c>
      <c r="H22" s="106"/>
      <c r="I22" s="121">
        <f>SUM(I14:I21)</f>
        <v>0</v>
      </c>
      <c r="J22" s="74"/>
    </row>
    <row r="23" spans="1:10" ht="15" customHeight="1">
      <c r="A23" s="14"/>
      <c r="B23" s="14"/>
      <c r="C23" s="114"/>
      <c r="D23" s="95" t="s">
        <v>461</v>
      </c>
      <c r="E23" s="106"/>
      <c r="F23" s="123">
        <v>0</v>
      </c>
      <c r="G23" s="95" t="s">
        <v>474</v>
      </c>
      <c r="H23" s="106"/>
      <c r="I23" s="121">
        <v>0</v>
      </c>
      <c r="J23" s="74"/>
    </row>
    <row r="24" spans="4:9" ht="15" customHeight="1">
      <c r="D24" s="14"/>
      <c r="E24" s="14"/>
      <c r="F24" s="124"/>
      <c r="G24" s="95" t="s">
        <v>475</v>
      </c>
      <c r="H24" s="106"/>
      <c r="I24" s="129"/>
    </row>
    <row r="25" spans="6:10" ht="15" customHeight="1">
      <c r="F25" s="125"/>
      <c r="G25" s="95" t="s">
        <v>476</v>
      </c>
      <c r="H25" s="106"/>
      <c r="I25" s="121">
        <v>0</v>
      </c>
      <c r="J25" s="74"/>
    </row>
    <row r="26" spans="1:9" ht="12.75">
      <c r="A26" s="13"/>
      <c r="B26" s="13"/>
      <c r="C26" s="13"/>
      <c r="G26" s="14"/>
      <c r="H26" s="14"/>
      <c r="I26" s="14"/>
    </row>
    <row r="27" spans="1:9" ht="15" customHeight="1">
      <c r="A27" s="96" t="s">
        <v>448</v>
      </c>
      <c r="B27" s="107"/>
      <c r="C27" s="130">
        <f>SUM('Stavební rozpočet'!AJ12:AJ215)</f>
        <v>0</v>
      </c>
      <c r="D27" s="119"/>
      <c r="E27" s="13"/>
      <c r="F27" s="13"/>
      <c r="G27" s="13"/>
      <c r="H27" s="13"/>
      <c r="I27" s="13"/>
    </row>
    <row r="28" spans="1:10" ht="15" customHeight="1">
      <c r="A28" s="96" t="s">
        <v>449</v>
      </c>
      <c r="B28" s="107"/>
      <c r="C28" s="130">
        <f>SUM('Stavební rozpočet'!AK12:AK215)</f>
        <v>0</v>
      </c>
      <c r="D28" s="96" t="s">
        <v>462</v>
      </c>
      <c r="E28" s="107"/>
      <c r="F28" s="130">
        <f>ROUND(C28*(15/100),2)</f>
        <v>0</v>
      </c>
      <c r="G28" s="96" t="s">
        <v>477</v>
      </c>
      <c r="H28" s="107"/>
      <c r="I28" s="130">
        <f>SUM(C27:C29)</f>
        <v>0</v>
      </c>
      <c r="J28" s="74"/>
    </row>
    <row r="29" spans="1:10" ht="15" customHeight="1">
      <c r="A29" s="96" t="s">
        <v>450</v>
      </c>
      <c r="B29" s="107"/>
      <c r="C29" s="130">
        <f>SUM('Stavební rozpočet'!AL12:AL215)+(F22+I22+F23+I23+I24+I25)</f>
        <v>0</v>
      </c>
      <c r="D29" s="96" t="s">
        <v>463</v>
      </c>
      <c r="E29" s="107"/>
      <c r="F29" s="130">
        <f>ROUND(C29*(21/100),2)</f>
        <v>0</v>
      </c>
      <c r="G29" s="96" t="s">
        <v>478</v>
      </c>
      <c r="H29" s="107"/>
      <c r="I29" s="130">
        <f>SUM(F28:F29)+I28</f>
        <v>0</v>
      </c>
      <c r="J29" s="74"/>
    </row>
    <row r="30" spans="1:9" ht="12.75">
      <c r="A30" s="97"/>
      <c r="B30" s="97"/>
      <c r="C30" s="97"/>
      <c r="D30" s="97"/>
      <c r="E30" s="97"/>
      <c r="F30" s="97"/>
      <c r="G30" s="97"/>
      <c r="H30" s="97"/>
      <c r="I30" s="97"/>
    </row>
    <row r="31" spans="1:10" ht="14.25" customHeight="1">
      <c r="A31" s="98" t="s">
        <v>451</v>
      </c>
      <c r="B31" s="108"/>
      <c r="C31" s="115"/>
      <c r="D31" s="98" t="s">
        <v>464</v>
      </c>
      <c r="E31" s="108"/>
      <c r="F31" s="115"/>
      <c r="G31" s="98" t="s">
        <v>479</v>
      </c>
      <c r="H31" s="108"/>
      <c r="I31" s="115"/>
      <c r="J31" s="75"/>
    </row>
    <row r="32" spans="1:10" ht="14.25" customHeight="1">
      <c r="A32" s="99"/>
      <c r="B32" s="109"/>
      <c r="C32" s="116"/>
      <c r="D32" s="99"/>
      <c r="E32" s="109"/>
      <c r="F32" s="116"/>
      <c r="G32" s="99"/>
      <c r="H32" s="109"/>
      <c r="I32" s="116"/>
      <c r="J32" s="75"/>
    </row>
    <row r="33" spans="1:10" ht="14.25" customHeight="1">
      <c r="A33" s="99"/>
      <c r="B33" s="109"/>
      <c r="C33" s="116"/>
      <c r="D33" s="99"/>
      <c r="E33" s="109"/>
      <c r="F33" s="116"/>
      <c r="G33" s="99"/>
      <c r="H33" s="109"/>
      <c r="I33" s="116"/>
      <c r="J33" s="75"/>
    </row>
    <row r="34" spans="1:10" ht="14.25" customHeight="1">
      <c r="A34" s="99"/>
      <c r="B34" s="109"/>
      <c r="C34" s="116"/>
      <c r="D34" s="99"/>
      <c r="E34" s="109"/>
      <c r="F34" s="116"/>
      <c r="G34" s="99"/>
      <c r="H34" s="109"/>
      <c r="I34" s="116"/>
      <c r="J34" s="75"/>
    </row>
    <row r="35" spans="1:10" ht="14.25" customHeight="1">
      <c r="A35" s="100" t="s">
        <v>452</v>
      </c>
      <c r="B35" s="110"/>
      <c r="C35" s="117"/>
      <c r="D35" s="100" t="s">
        <v>452</v>
      </c>
      <c r="E35" s="110"/>
      <c r="F35" s="117"/>
      <c r="G35" s="100" t="s">
        <v>452</v>
      </c>
      <c r="H35" s="110"/>
      <c r="I35" s="117"/>
      <c r="J35" s="75"/>
    </row>
    <row r="36" spans="1:9" ht="11.25" customHeight="1">
      <c r="A36" s="101" t="s">
        <v>82</v>
      </c>
      <c r="B36" s="111"/>
      <c r="C36" s="111"/>
      <c r="D36" s="111"/>
      <c r="E36" s="111"/>
      <c r="F36" s="111"/>
      <c r="G36" s="111"/>
      <c r="H36" s="111"/>
      <c r="I36" s="111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