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Výkaz výměr" sheetId="3" r:id="rId3"/>
    <sheet name="Harmonogram" sheetId="4" r:id="rId4"/>
    <sheet name="Čerpání rozpočtu" sheetId="5" r:id="rId5"/>
    <sheet name="Krycí list rozpočtu" sheetId="6" r:id="rId6"/>
  </sheets>
  <definedNames/>
  <calcPr fullCalcOnLoad="1"/>
</workbook>
</file>

<file path=xl/sharedStrings.xml><?xml version="1.0" encoding="utf-8"?>
<sst xmlns="http://schemas.openxmlformats.org/spreadsheetml/2006/main" count="1068" uniqueCount="347">
  <si>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</si>
  <si>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</si>
  <si>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</si>
  <si>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</si>
  <si>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</si>
  <si>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</si>
  <si>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</si>
  <si>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</si>
  <si>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</si>
  <si>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</si>
  <si>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</si>
  <si>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</si>
  <si>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</si>
  <si>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</si>
  <si>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</si>
  <si>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</si>
  <si>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</si>
  <si>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</si>
  <si>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</si>
  <si>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</si>
  <si>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</si>
  <si>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</si>
  <si>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</si>
  <si>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</si>
  <si>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</si>
  <si>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</si>
  <si>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</si>
  <si>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</si>
  <si>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</si>
  <si>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</si>
  <si>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</si>
  <si>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</si>
  <si>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</si>
  <si>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</si>
  <si>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</si>
  <si>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</si>
  <si>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</si>
  <si>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</si>
  <si>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</si>
  <si>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</si>
  <si>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</si>
  <si>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</si>
  <si>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</si>
  <si>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</si>
  <si>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</si>
  <si>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</si>
  <si>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</si>
  <si>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</si>
  <si>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</si>
  <si>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</si>
  <si>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</si>
  <si>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</si>
  <si>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</si>
  <si>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</si>
  <si>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</si>
  <si>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</si>
  <si>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</si>
  <si>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</si>
  <si>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</si>
  <si>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</si>
  <si>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</si>
  <si>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</si>
  <si>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</si>
  <si>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</si>
  <si>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</si>
  <si>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</si>
  <si>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</si>
  <si>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</si>
  <si>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</si>
  <si>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</si>
  <si>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Poznámka:</t>
  </si>
  <si>
    <t>Objekt</t>
  </si>
  <si>
    <t>Kód</t>
  </si>
  <si>
    <t>0</t>
  </si>
  <si>
    <t>00011VD</t>
  </si>
  <si>
    <t>0116VD</t>
  </si>
  <si>
    <t>0005VD</t>
  </si>
  <si>
    <t>00013VD</t>
  </si>
  <si>
    <t>00014VD</t>
  </si>
  <si>
    <t>00010VD</t>
  </si>
  <si>
    <t>0002VD</t>
  </si>
  <si>
    <t>00001VD</t>
  </si>
  <si>
    <t>00002VD</t>
  </si>
  <si>
    <t>00203VD</t>
  </si>
  <si>
    <t>00202VD</t>
  </si>
  <si>
    <t>00201VD</t>
  </si>
  <si>
    <t>00217VD</t>
  </si>
  <si>
    <t>00210VD</t>
  </si>
  <si>
    <t>00101VD</t>
  </si>
  <si>
    <t>00205VD</t>
  </si>
  <si>
    <t>00211VD</t>
  </si>
  <si>
    <t>00212VD</t>
  </si>
  <si>
    <t>113107243R00</t>
  </si>
  <si>
    <t>113107222R00</t>
  </si>
  <si>
    <t>112101101R00</t>
  </si>
  <si>
    <t>112201101R00</t>
  </si>
  <si>
    <t>111201101R00</t>
  </si>
  <si>
    <t>112101102R00</t>
  </si>
  <si>
    <t>112201102R00</t>
  </si>
  <si>
    <t>122202202R00</t>
  </si>
  <si>
    <t>121101103R00</t>
  </si>
  <si>
    <t>132201101R00</t>
  </si>
  <si>
    <t>131101110R00</t>
  </si>
  <si>
    <t>162401102R00</t>
  </si>
  <si>
    <t>174101101R00</t>
  </si>
  <si>
    <t>58344197</t>
  </si>
  <si>
    <t>181101102R00</t>
  </si>
  <si>
    <t>181301111R00</t>
  </si>
  <si>
    <t>182101101R00</t>
  </si>
  <si>
    <t>569903311R00</t>
  </si>
  <si>
    <t>567122114R00</t>
  </si>
  <si>
    <t>564861111R00</t>
  </si>
  <si>
    <t>564871111R00</t>
  </si>
  <si>
    <t>565151111R00</t>
  </si>
  <si>
    <t>565310012R00</t>
  </si>
  <si>
    <t>564782111R00</t>
  </si>
  <si>
    <t>573111112R00</t>
  </si>
  <si>
    <t>573211111R00</t>
  </si>
  <si>
    <t>577151113R00</t>
  </si>
  <si>
    <t>577141112R00</t>
  </si>
  <si>
    <t>573111111R00</t>
  </si>
  <si>
    <t>594111111R00</t>
  </si>
  <si>
    <t>58380750</t>
  </si>
  <si>
    <t>599632111R00</t>
  </si>
  <si>
    <t>89</t>
  </si>
  <si>
    <t>899331111R00</t>
  </si>
  <si>
    <t>91</t>
  </si>
  <si>
    <t>917762111R00</t>
  </si>
  <si>
    <t>00015VD</t>
  </si>
  <si>
    <t>916561111R00</t>
  </si>
  <si>
    <t>592173060</t>
  </si>
  <si>
    <t>919723212R00</t>
  </si>
  <si>
    <t>919735113R00</t>
  </si>
  <si>
    <t>919411121R00</t>
  </si>
  <si>
    <t>S</t>
  </si>
  <si>
    <t>979082213R00</t>
  </si>
  <si>
    <t>979082219R00</t>
  </si>
  <si>
    <t>998225111R00</t>
  </si>
  <si>
    <t>ZPEVNĚNÍ ÚČELOVÉ KOMUNIKACE ŠLAPANICE - BEDŘICHOVICE</t>
  </si>
  <si>
    <t>SO 101-SO 104, SO 701</t>
  </si>
  <si>
    <t>K.Ú. Šlapanice, Bedřichovice</t>
  </si>
  <si>
    <t>Zkrácený popis</t>
  </si>
  <si>
    <t>Rozměry</t>
  </si>
  <si>
    <t>Všeobecné konstrukce a práce</t>
  </si>
  <si>
    <t>Geotextilie 350 g/m2, včetně montáže</t>
  </si>
  <si>
    <t>Dopravní začky svislé</t>
  </si>
  <si>
    <t>Chránička kabelových tras PVC 125 půlené</t>
  </si>
  <si>
    <t>Úprava pláně - Vápenná stabilizace v tl. 300 mm - alternativa</t>
  </si>
  <si>
    <t>Poplatek za uložení zeminy</t>
  </si>
  <si>
    <t>Sadové úpravy - urovnání zeminy, zatravnění</t>
  </si>
  <si>
    <t>Uliční vpust D+M</t>
  </si>
  <si>
    <t>Poplatek za uložení živičné suti</t>
  </si>
  <si>
    <t>Poplatek za uložení vybourané suti a hmot na skládku</t>
  </si>
  <si>
    <t>Drenáž PVC DN 150, komplet D+M</t>
  </si>
  <si>
    <t>Pročištění vodoteče</t>
  </si>
  <si>
    <t>Stranový posun kabelů</t>
  </si>
  <si>
    <t>Odstranění stávajícího oplocení vč. bran a branek, komplet</t>
  </si>
  <si>
    <t>Oplocení drátěné (PVC povrch) výšky 1,8 m, ocel sloupky, komplet D+M</t>
  </si>
  <si>
    <t>Ocelová branka s drátěným pletivem š. 1,0 m, klika, zámek, komplet D+M</t>
  </si>
  <si>
    <t>Ocelová brana s drátěnýmpletivem š. 2,5 m, klika, zámek, komplet D+M</t>
  </si>
  <si>
    <t>Očištění a vyspravení  bet krytu mostku v tl. 50 mm - komplaet D+M</t>
  </si>
  <si>
    <t>Ocelové zábradlí h=1,10 m, pozink, komplet D+M</t>
  </si>
  <si>
    <t>Přípravné a přidružené práce</t>
  </si>
  <si>
    <t>Odstranění podkladu nad 200 m2, živičného tl.15 cm</t>
  </si>
  <si>
    <t>Odstranění podkladu nad 200 m2,kam.drcené tl.20 cm</t>
  </si>
  <si>
    <t>Kácení stromů listnatých o průměru kmene 10-30 cm</t>
  </si>
  <si>
    <t>Odstranění pařezů pod úrovní, o průměru 10 - 30 cm</t>
  </si>
  <si>
    <t>Odstranění křovin i s kořeny na ploše do 1000 m2</t>
  </si>
  <si>
    <t>Kácení stromů listnatých o průměru kmene 30-50 cm</t>
  </si>
  <si>
    <t>Odstranění pařezů pod úrovní, o průměru 30 - 50 cm</t>
  </si>
  <si>
    <t>Odkopávky a prokopávky</t>
  </si>
  <si>
    <t>Odkopávky pro silnice v hor. 3 do 1000 m3</t>
  </si>
  <si>
    <t>Sejmutí ornice s přemístěním přes 100 do 250 m</t>
  </si>
  <si>
    <t>Hloubené vykopávky</t>
  </si>
  <si>
    <t>Hloubení rýh šířky do 60 cm v hor.3 do 100 m3</t>
  </si>
  <si>
    <t>Hloubení nezapaž. jam, rýh hor.2 do 50 m3, STROJNĚ</t>
  </si>
  <si>
    <t>Přemístění výkopku</t>
  </si>
  <si>
    <t>Vodorovné přemístění výkopku z hor.1-4 do 2000 m</t>
  </si>
  <si>
    <t>Konstrukce ze zemin</t>
  </si>
  <si>
    <t>Zásyp jam, rýh, šachet se zhutněním</t>
  </si>
  <si>
    <t>Štěrkodrtě frakce 32-63 A</t>
  </si>
  <si>
    <t>Povrchové úpravy terénu</t>
  </si>
  <si>
    <t>Úprava pláně v zářezech v hor. 1-4, se zhutněním</t>
  </si>
  <si>
    <t>Rozprostření ornice, rovina, tl.do 10 cm,nad 500m2</t>
  </si>
  <si>
    <t>Svahování v zářezech v hor. 1 - 4</t>
  </si>
  <si>
    <t>Podkladní vrstvy komunikací, letišť a ploch</t>
  </si>
  <si>
    <t>Zřízení zemních krajnic se zhutněním</t>
  </si>
  <si>
    <t>Podklad z kameniva zpev.cementem KZC 1 tl.15 cm</t>
  </si>
  <si>
    <t>Podklad ze štěrkodrti po zhutnění tloušťky 20 cm</t>
  </si>
  <si>
    <t>Podklad ze štěrkodrti po zhutnění tloušťky 25 cm</t>
  </si>
  <si>
    <t>Podklad z obal kam.ACP 16+,ACP 22+,do 3 m,tl. 7 cm</t>
  </si>
  <si>
    <t>Podklad z asfalt. recyklátu po zhutnění tl.6 cm</t>
  </si>
  <si>
    <t>Podklad z kam.drceného 32-63 s výplň.kamen. 30 cm - krajská</t>
  </si>
  <si>
    <t>Kryty štěrkových a živičných pozemních komunikací a zpevněných ploch</t>
  </si>
  <si>
    <t>Postřik živičný infiltr.+ posyp,z asfaltu 1 kg/m2</t>
  </si>
  <si>
    <t>Postřik živičný spojovací z asfaltu 0,8 kg/m2</t>
  </si>
  <si>
    <t>Beton asfalt. ACO 16+ obrusný, š. do 3 m, tl. 6 cm</t>
  </si>
  <si>
    <t>Beton asfalt. ACO 11+,nebo ACO 16+,do 3 m, tl.5 cm</t>
  </si>
  <si>
    <t>Postřik živičný spojovací z asfaltu 0,5-0,7 kg/m2 - krajská</t>
  </si>
  <si>
    <t>Postřik živičný infiltr.+ posyp, asfalt. 0,60kg/m2 - krajská</t>
  </si>
  <si>
    <t>Dlažby a předlažby pozemních komunikací a zpevněných ploch</t>
  </si>
  <si>
    <t>Dlažba z lomového kamene,lože z kam.těž.do 5 cm</t>
  </si>
  <si>
    <t>Kámen lomový upravený regulační tl. 20 cm</t>
  </si>
  <si>
    <t>Výplň spár dlažby z lomového kamene MC se zatřením</t>
  </si>
  <si>
    <t>Ostatní konstrukce a práce na trubním vedení</t>
  </si>
  <si>
    <t>Výšková úprava vstupu do 20 cm, zvýšení poklopu</t>
  </si>
  <si>
    <t>Doplňující konstrukce a práce pozemních komunikací, letišť a ploch</t>
  </si>
  <si>
    <t>Osazení obrub. bet. s opěrou, lože z B 12,5</t>
  </si>
  <si>
    <t>Nájezdový obrubník ABO 100/15/15 N</t>
  </si>
  <si>
    <t>Osazení záhon.obrubníků do lože z B 12,5 s opěrou</t>
  </si>
  <si>
    <t>Obrubník chodníkový ABO 100/10/25 šedý</t>
  </si>
  <si>
    <t>Zálivka spáry řez. podélné 9 mm, zalití za tepla</t>
  </si>
  <si>
    <t>Řezání stávajícího živičného krytu tl. 10 - 15 cm</t>
  </si>
  <si>
    <t>Čelo propustku z bet.prostého z trub DN 60-80 cm</t>
  </si>
  <si>
    <t>Přesuny sutí</t>
  </si>
  <si>
    <t>Vodorovná doprava suti po suchu do 1 km</t>
  </si>
  <si>
    <t>Příplatek za dopravu suti po suchu za další 1 km</t>
  </si>
  <si>
    <t>Vodorovná doprava suti po suchu do 1 km - živice</t>
  </si>
  <si>
    <t>Příplatek za dopravu suti po suchu za další 1 km - živice</t>
  </si>
  <si>
    <t>Přesun hmot, pozemní komunikace, kryt živičný</t>
  </si>
  <si>
    <t>Doba výstavby:</t>
  </si>
  <si>
    <t>Začátek výstavby:</t>
  </si>
  <si>
    <t>Konec výstavby:</t>
  </si>
  <si>
    <t>Zpracováno dne:</t>
  </si>
  <si>
    <t>M.j.</t>
  </si>
  <si>
    <t>m2</t>
  </si>
  <si>
    <t>kus</t>
  </si>
  <si>
    <t>m</t>
  </si>
  <si>
    <t>t</t>
  </si>
  <si>
    <t>m3</t>
  </si>
  <si>
    <t>T</t>
  </si>
  <si>
    <t>Množství</t>
  </si>
  <si>
    <t>579 dní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</si>
  <si>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</si>
  <si>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</si>
  <si>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</si>
  <si>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</si>
  <si>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</si>
  <si>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</si>
  <si>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</si>
  <si>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</si>
  <si>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</si>
  <si>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</si>
  <si>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Holotík</t>
  </si>
  <si>
    <t>Celkem</t>
  </si>
  <si>
    <t>Hmotnost (t)</t>
  </si>
  <si>
    <t>Cenová</t>
  </si>
  <si>
    <t>soustava</t>
  </si>
  <si>
    <t>RTS II / 2014</t>
  </si>
  <si>
    <t>RTS I / 2008</t>
  </si>
  <si>
    <t>Přesuny</t>
  </si>
  <si>
    <t>Typ skupiny</t>
  </si>
  <si>
    <t>HS</t>
  </si>
  <si>
    <t>PR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</si>
  <si>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</si>
  <si>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</si>
  <si>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</si>
  <si>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</si>
  <si>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</si>
  <si>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</si>
  <si>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</si>
  <si>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</si>
  <si>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11_</t>
  </si>
  <si>
    <t>12_</t>
  </si>
  <si>
    <t>13_</t>
  </si>
  <si>
    <t>16_</t>
  </si>
  <si>
    <t>17_</t>
  </si>
  <si>
    <t>18_</t>
  </si>
  <si>
    <t>56_</t>
  </si>
  <si>
    <t>57_</t>
  </si>
  <si>
    <t>59_</t>
  </si>
  <si>
    <t>89_</t>
  </si>
  <si>
    <t>91_</t>
  </si>
  <si>
    <t>S_</t>
  </si>
  <si>
    <t>1_</t>
  </si>
  <si>
    <t>5_</t>
  </si>
  <si>
    <t>8_</t>
  </si>
  <si>
    <t>9_</t>
  </si>
  <si>
    <t>_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</si>
  <si>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</si>
  <si>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</si>
  <si>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</si>
  <si>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</si>
  <si>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</si>
  <si>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</si>
  <si>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Výkaz výměr</t>
  </si>
  <si>
    <t>Cenová soustava</t>
  </si>
  <si>
    <t>Harmonogram</t>
  </si>
  <si>
    <t>Nh</t>
  </si>
  <si>
    <t>Zdroje</t>
  </si>
  <si>
    <t>Trvání</t>
  </si>
  <si>
    <t>Začátek</t>
  </si>
  <si>
    <t>Konec</t>
  </si>
  <si>
    <t>Rozpočet (Kč)</t>
  </si>
  <si>
    <t>Čerpání rozpočtu</t>
  </si>
  <si>
    <t>Rozpočtové náklady (Kč)</t>
  </si>
  <si>
    <t>Fakturovaná cena (Kč)</t>
  </si>
  <si>
    <t>Rozdíl v Kč</t>
  </si>
  <si>
    <t>Rozdíl v %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</si>
  <si>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</si>
  <si>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</si>
  <si>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</si>
  <si>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</si>
  <si>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</si>
  <si>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</si>
  <si>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</si>
  <si>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</si>
  <si>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</si>
  <si>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</si>
  <si>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</si>
  <si>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</si>
  <si>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</si>
  <si>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</si>
  <si>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</si>
  <si>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</si>
  <si>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</si>
  <si>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</si>
  <si>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</si>
  <si>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</si>
  <si>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</si>
  <si>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</si>
  <si>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</si>
  <si>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</si>
  <si>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</si>
  <si>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</si>
  <si>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</si>
  <si>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</si>
  <si>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</si>
  <si>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</si>
  <si>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</si>
  <si>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</si>
  <si>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</si>
  <si>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</si>
  <si>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</si>
  <si>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</si>
  <si>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</si>
  <si>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</si>
  <si>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</si>
  <si>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</si>
  <si>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</si>
  <si>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</si>
  <si>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</si>
  <si>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</si>
  <si>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Slepý rozpočet - výkaz výměr</t>
  </si>
  <si>
    <t>Úprava pláně - Vápenná stabilizace v tl. 300 mm s přídav.vápna do 4%</t>
  </si>
  <si>
    <t>položka zrušena</t>
  </si>
  <si>
    <t xml:space="preserve">Podklad z obalovaného kameniva z recyklovaného materiálu po zhutnění tl.6 cm, v případě, že recykl.materiál nemá k dispozici, nabídne podkladní vrstvu ACP 22S 50/70, po zhutnění tl 6 cm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</si>
</sst>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5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righ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9" fillId="33" borderId="30" xfId="0" applyNumberFormat="1" applyFont="1" applyFill="1" applyBorder="1" applyAlignment="1" applyProtection="1">
      <alignment horizontal="center" vertical="center"/>
      <protection/>
    </xf>
    <xf numFmtId="49" fontId="10" fillId="0" borderId="31" xfId="0" applyNumberFormat="1" applyFont="1" applyFill="1" applyBorder="1" applyAlignment="1" applyProtection="1">
      <alignment horizontal="left" vertical="center"/>
      <protection/>
    </xf>
    <xf numFmtId="49" fontId="10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" fontId="11" fillId="0" borderId="30" xfId="0" applyNumberFormat="1" applyFont="1" applyFill="1" applyBorder="1" applyAlignment="1" applyProtection="1">
      <alignment horizontal="right" vertical="center"/>
      <protection/>
    </xf>
    <xf numFmtId="49" fontId="11" fillId="0" borderId="30" xfId="0" applyNumberFormat="1" applyFont="1" applyFill="1" applyBorder="1" applyAlignment="1" applyProtection="1">
      <alignment horizontal="right" vertical="center"/>
      <protection/>
    </xf>
    <xf numFmtId="4" fontId="1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4" fontId="10" fillId="33" borderId="39" xfId="0" applyNumberFormat="1" applyFont="1" applyFill="1" applyBorder="1" applyAlignment="1" applyProtection="1">
      <alignment horizontal="right" vertical="center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4" fontId="4" fillId="34" borderId="0" xfId="0" applyNumberFormat="1" applyFont="1" applyFill="1" applyBorder="1" applyAlignment="1" applyProtection="1">
      <alignment horizontal="right" vertical="center"/>
      <protection/>
    </xf>
    <xf numFmtId="49" fontId="4" fillId="34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47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3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8" fillId="0" borderId="50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" vertical="center"/>
      <protection/>
    </xf>
    <xf numFmtId="49" fontId="12" fillId="0" borderId="38" xfId="0" applyNumberFormat="1" applyFont="1" applyFill="1" applyBorder="1" applyAlignment="1" applyProtection="1">
      <alignment horizontal="left" vertical="center"/>
      <protection/>
    </xf>
    <xf numFmtId="0" fontId="12" fillId="0" borderId="39" xfId="0" applyNumberFormat="1" applyFont="1" applyFill="1" applyBorder="1" applyAlignment="1" applyProtection="1">
      <alignment horizontal="left" vertical="center"/>
      <protection/>
    </xf>
    <xf numFmtId="49" fontId="11" fillId="0" borderId="38" xfId="0" applyNumberFormat="1" applyFont="1" applyFill="1" applyBorder="1" applyAlignment="1" applyProtection="1">
      <alignment horizontal="left" vertical="center"/>
      <protection/>
    </xf>
    <xf numFmtId="0" fontId="11" fillId="0" borderId="39" xfId="0" applyNumberFormat="1" applyFont="1" applyFill="1" applyBorder="1" applyAlignment="1" applyProtection="1">
      <alignment horizontal="left" vertical="center"/>
      <protection/>
    </xf>
    <xf numFmtId="49" fontId="10" fillId="0" borderId="38" xfId="0" applyNumberFormat="1" applyFont="1" applyFill="1" applyBorder="1" applyAlignment="1" applyProtection="1">
      <alignment horizontal="left" vertical="center"/>
      <protection/>
    </xf>
    <xf numFmtId="0" fontId="10" fillId="0" borderId="39" xfId="0" applyNumberFormat="1" applyFont="1" applyFill="1" applyBorder="1" applyAlignment="1" applyProtection="1">
      <alignment horizontal="left" vertical="center"/>
      <protection/>
    </xf>
    <xf numFmtId="49" fontId="10" fillId="33" borderId="38" xfId="0" applyNumberFormat="1" applyFont="1" applyFill="1" applyBorder="1" applyAlignment="1" applyProtection="1">
      <alignment horizontal="left" vertical="center"/>
      <protection/>
    </xf>
    <xf numFmtId="0" fontId="10" fillId="33" borderId="50" xfId="0" applyNumberFormat="1" applyFont="1" applyFill="1" applyBorder="1" applyAlignment="1" applyProtection="1">
      <alignment horizontal="left" vertical="center"/>
      <protection/>
    </xf>
    <xf numFmtId="49" fontId="11" fillId="0" borderId="51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52" xfId="0" applyNumberFormat="1" applyFont="1" applyFill="1" applyBorder="1" applyAlignment="1" applyProtection="1">
      <alignment horizontal="left" vertical="center"/>
      <protection/>
    </xf>
    <xf numFmtId="49" fontId="11" fillId="0" borderId="25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53" xfId="0" applyNumberFormat="1" applyFont="1" applyFill="1" applyBorder="1" applyAlignment="1" applyProtection="1">
      <alignment horizontal="left" vertical="center"/>
      <protection/>
    </xf>
    <xf numFmtId="49" fontId="11" fillId="0" borderId="54" xfId="0" applyNumberFormat="1" applyFont="1" applyFill="1" applyBorder="1" applyAlignment="1" applyProtection="1">
      <alignment horizontal="left" vertical="center"/>
      <protection/>
    </xf>
    <xf numFmtId="0" fontId="11" fillId="0" borderId="42" xfId="0" applyNumberFormat="1" applyFont="1" applyFill="1" applyBorder="1" applyAlignment="1" applyProtection="1">
      <alignment horizontal="left" vertical="center"/>
      <protection/>
    </xf>
    <xf numFmtId="0" fontId="11" fillId="0" borderId="55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1"/>
  <sheetViews>
    <sheetView tabSelected="1" zoomScalePageLayoutView="0" workbookViewId="0" topLeftCell="A28">
      <selection activeCell="D61" sqref="D6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67.1406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7" width="12.140625" style="0" hidden="1" customWidth="1"/>
  </cols>
  <sheetData>
    <row r="1" spans="1:13" ht="72.75" customHeight="1">
      <c r="A1" s="74" t="s">
        <v>343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4" ht="12.75">
      <c r="A2" s="76" t="s">
        <v>0</v>
      </c>
      <c r="B2" s="77"/>
      <c r="C2" s="77"/>
      <c r="D2" s="80" t="s">
        <v>138</v>
      </c>
      <c r="E2" s="82" t="s">
        <v>220</v>
      </c>
      <c r="F2" s="77"/>
      <c r="G2" s="82" t="s">
        <v>232</v>
      </c>
      <c r="H2" s="77"/>
      <c r="I2" s="83" t="s">
        <v>238</v>
      </c>
      <c r="J2" s="83"/>
      <c r="K2" s="77"/>
      <c r="L2" s="77"/>
      <c r="M2" s="84"/>
      <c r="N2" s="32"/>
    </row>
    <row r="3" spans="1:14" ht="12.75">
      <c r="A3" s="78"/>
      <c r="B3" s="79"/>
      <c r="C3" s="79"/>
      <c r="D3" s="81"/>
      <c r="E3" s="79"/>
      <c r="F3" s="79"/>
      <c r="G3" s="79"/>
      <c r="H3" s="79"/>
      <c r="I3" s="79"/>
      <c r="J3" s="79"/>
      <c r="K3" s="79"/>
      <c r="L3" s="79"/>
      <c r="M3" s="85"/>
      <c r="N3" s="32"/>
    </row>
    <row r="4" spans="1:14" ht="12.75">
      <c r="A4" s="86" t="s">
        <v>1</v>
      </c>
      <c r="B4" s="79"/>
      <c r="C4" s="79"/>
      <c r="D4" s="87" t="s">
        <v>139</v>
      </c>
      <c r="E4" s="88" t="s">
        <v>221</v>
      </c>
      <c r="F4" s="79"/>
      <c r="G4" s="89">
        <v>42856</v>
      </c>
      <c r="H4" s="79"/>
      <c r="I4" s="87" t="s">
        <v>239</v>
      </c>
      <c r="J4" s="87"/>
      <c r="K4" s="79"/>
      <c r="L4" s="79"/>
      <c r="M4" s="85"/>
      <c r="N4" s="32"/>
    </row>
    <row r="5" spans="1:14" ht="12.7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5"/>
      <c r="N5" s="32"/>
    </row>
    <row r="6" spans="1:14" ht="12.75">
      <c r="A6" s="86" t="s">
        <v>2</v>
      </c>
      <c r="B6" s="79"/>
      <c r="C6" s="79"/>
      <c r="D6" s="87" t="s">
        <v>140</v>
      </c>
      <c r="E6" s="88" t="s">
        <v>222</v>
      </c>
      <c r="F6" s="79"/>
      <c r="G6" s="89">
        <v>43434</v>
      </c>
      <c r="H6" s="79"/>
      <c r="I6" s="87" t="s">
        <v>240</v>
      </c>
      <c r="J6" s="87"/>
      <c r="K6" s="79"/>
      <c r="L6" s="79"/>
      <c r="M6" s="85"/>
      <c r="N6" s="32"/>
    </row>
    <row r="7" spans="1:14" ht="12.75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85"/>
      <c r="N7" s="32"/>
    </row>
    <row r="8" spans="1:14" ht="12.75">
      <c r="A8" s="86" t="s">
        <v>3</v>
      </c>
      <c r="B8" s="79"/>
      <c r="C8" s="79"/>
      <c r="D8" s="87">
        <v>8222972</v>
      </c>
      <c r="E8" s="88" t="s">
        <v>223</v>
      </c>
      <c r="F8" s="79"/>
      <c r="G8" s="89">
        <v>42794</v>
      </c>
      <c r="H8" s="79"/>
      <c r="I8" s="87" t="s">
        <v>241</v>
      </c>
      <c r="J8" s="87" t="s">
        <v>243</v>
      </c>
      <c r="K8" s="79"/>
      <c r="L8" s="79"/>
      <c r="M8" s="85"/>
      <c r="N8" s="32"/>
    </row>
    <row r="9" spans="1:14" ht="12.75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2"/>
      <c r="N9" s="32"/>
    </row>
    <row r="10" spans="1:14" ht="12.75">
      <c r="A10" s="1" t="s">
        <v>4</v>
      </c>
      <c r="B10" s="10" t="s">
        <v>71</v>
      </c>
      <c r="C10" s="10" t="s">
        <v>72</v>
      </c>
      <c r="D10" s="10" t="s">
        <v>141</v>
      </c>
      <c r="E10" s="10" t="s">
        <v>224</v>
      </c>
      <c r="F10" s="16" t="s">
        <v>231</v>
      </c>
      <c r="G10" s="20" t="s">
        <v>233</v>
      </c>
      <c r="H10" s="95" t="s">
        <v>235</v>
      </c>
      <c r="I10" s="96"/>
      <c r="J10" s="97"/>
      <c r="K10" s="95" t="s">
        <v>245</v>
      </c>
      <c r="L10" s="97"/>
      <c r="M10" s="27" t="s">
        <v>246</v>
      </c>
      <c r="N10" s="33"/>
    </row>
    <row r="11" spans="1:24" ht="12.75">
      <c r="A11" s="2" t="s">
        <v>5</v>
      </c>
      <c r="B11" s="11" t="s">
        <v>5</v>
      </c>
      <c r="C11" s="11" t="s">
        <v>5</v>
      </c>
      <c r="D11" s="14" t="s">
        <v>142</v>
      </c>
      <c r="E11" s="11" t="s">
        <v>5</v>
      </c>
      <c r="F11" s="11" t="s">
        <v>5</v>
      </c>
      <c r="G11" s="21" t="s">
        <v>234</v>
      </c>
      <c r="H11" s="22" t="s">
        <v>236</v>
      </c>
      <c r="I11" s="23" t="s">
        <v>242</v>
      </c>
      <c r="J11" s="24" t="s">
        <v>244</v>
      </c>
      <c r="K11" s="22" t="s">
        <v>233</v>
      </c>
      <c r="L11" s="24" t="s">
        <v>244</v>
      </c>
      <c r="M11" s="28" t="s">
        <v>247</v>
      </c>
      <c r="N11" s="33"/>
      <c r="P11" s="26" t="s">
        <v>250</v>
      </c>
      <c r="Q11" s="26" t="s">
        <v>251</v>
      </c>
      <c r="R11" s="26" t="s">
        <v>254</v>
      </c>
      <c r="S11" s="26" t="s">
        <v>255</v>
      </c>
      <c r="T11" s="26" t="s">
        <v>256</v>
      </c>
      <c r="U11" s="26" t="s">
        <v>257</v>
      </c>
      <c r="V11" s="26" t="s">
        <v>258</v>
      </c>
      <c r="W11" s="26" t="s">
        <v>259</v>
      </c>
      <c r="X11" s="26" t="s">
        <v>260</v>
      </c>
    </row>
    <row r="12" spans="1:37" ht="12.75">
      <c r="A12" s="3"/>
      <c r="B12" s="12"/>
      <c r="C12" s="12" t="s">
        <v>73</v>
      </c>
      <c r="D12" s="98" t="s">
        <v>143</v>
      </c>
      <c r="E12" s="99"/>
      <c r="F12" s="99"/>
      <c r="G12" s="99"/>
      <c r="H12" s="36">
        <f>SUM(H13:H30)</f>
        <v>0</v>
      </c>
      <c r="I12" s="36">
        <f>SUM(I13:I30)</f>
        <v>0</v>
      </c>
      <c r="J12" s="36">
        <f>H12+I12</f>
        <v>0</v>
      </c>
      <c r="K12" s="25"/>
      <c r="L12" s="36">
        <f>SUM(L13:L30)</f>
        <v>1391.1309999999996</v>
      </c>
      <c r="M12" s="25"/>
      <c r="P12" s="37">
        <f>IF(Q12="PR",J12,SUM(O13:O30))</f>
        <v>0</v>
      </c>
      <c r="Q12" s="26" t="s">
        <v>252</v>
      </c>
      <c r="R12" s="37">
        <f>IF(Q12="HS",H12,0)</f>
        <v>0</v>
      </c>
      <c r="S12" s="37">
        <f>IF(Q12="HS",I12-P12,0)</f>
        <v>0</v>
      </c>
      <c r="T12" s="37">
        <f>IF(Q12="PS",H12,0)</f>
        <v>0</v>
      </c>
      <c r="U12" s="37">
        <f>IF(Q12="PS",I12-P12,0)</f>
        <v>0</v>
      </c>
      <c r="V12" s="37">
        <f>IF(Q12="MP",H12,0)</f>
        <v>0</v>
      </c>
      <c r="W12" s="37">
        <f>IF(Q12="MP",I12-P12,0)</f>
        <v>0</v>
      </c>
      <c r="X12" s="37">
        <f>IF(Q12="OM",H12,0)</f>
        <v>0</v>
      </c>
      <c r="Y12" s="26"/>
      <c r="AI12" s="37">
        <f>SUM(Z13:Z30)</f>
        <v>0</v>
      </c>
      <c r="AJ12" s="37">
        <f>SUM(AA13:AA30)</f>
        <v>0</v>
      </c>
      <c r="AK12" s="37">
        <f>SUM(AB13:AB30)</f>
        <v>0</v>
      </c>
    </row>
    <row r="13" spans="1:43" ht="12.75">
      <c r="A13" s="4" t="s">
        <v>6</v>
      </c>
      <c r="B13" s="4"/>
      <c r="C13" s="4" t="s">
        <v>74</v>
      </c>
      <c r="D13" s="4" t="s">
        <v>144</v>
      </c>
      <c r="E13" s="4" t="s">
        <v>225</v>
      </c>
      <c r="F13" s="17">
        <v>2210.9</v>
      </c>
      <c r="G13" s="17">
        <v>0</v>
      </c>
      <c r="H13" s="17">
        <f aca="true" t="shared" si="0" ref="H13:H30">ROUND(F13*AE13,2)</f>
        <v>0</v>
      </c>
      <c r="I13" s="17">
        <f aca="true" t="shared" si="1" ref="I13:I30">J13-H13</f>
        <v>0</v>
      </c>
      <c r="J13" s="17">
        <f aca="true" t="shared" si="2" ref="J13:J30">ROUND(F13*G13,2)</f>
        <v>0</v>
      </c>
      <c r="K13" s="17">
        <v>0</v>
      </c>
      <c r="L13" s="17">
        <f aca="true" t="shared" si="3" ref="L13:L30">F13*K13</f>
        <v>0</v>
      </c>
      <c r="M13" s="29"/>
      <c r="N13" s="29" t="s">
        <v>6</v>
      </c>
      <c r="O13" s="17">
        <f aca="true" t="shared" si="4" ref="O13:O30">IF(N13="5",I13,0)</f>
        <v>0</v>
      </c>
      <c r="Z13" s="17">
        <f aca="true" t="shared" si="5" ref="Z13:Z30">IF(AD13=0,J13,0)</f>
        <v>0</v>
      </c>
      <c r="AA13" s="17">
        <f aca="true" t="shared" si="6" ref="AA13:AA30">IF(AD13=15,J13,0)</f>
        <v>0</v>
      </c>
      <c r="AB13" s="17">
        <f aca="true" t="shared" si="7" ref="AB13:AB30">IF(AD13=21,J13,0)</f>
        <v>0</v>
      </c>
      <c r="AD13" s="34">
        <v>21</v>
      </c>
      <c r="AE13" s="34">
        <f>G13*0</f>
        <v>0</v>
      </c>
      <c r="AF13" s="34">
        <f>G13*(1-0)</f>
        <v>0</v>
      </c>
      <c r="AM13" s="34">
        <f aca="true" t="shared" si="8" ref="AM13:AM30">F13*AE13</f>
        <v>0</v>
      </c>
      <c r="AN13" s="34">
        <f aca="true" t="shared" si="9" ref="AN13:AN30">F13*AF13</f>
        <v>0</v>
      </c>
      <c r="AO13" s="35" t="s">
        <v>261</v>
      </c>
      <c r="AP13" s="35" t="s">
        <v>261</v>
      </c>
      <c r="AQ13" s="26" t="s">
        <v>278</v>
      </c>
    </row>
    <row r="14" spans="1:43" ht="12.75">
      <c r="A14" s="4" t="s">
        <v>7</v>
      </c>
      <c r="B14" s="4"/>
      <c r="C14" s="4" t="s">
        <v>75</v>
      </c>
      <c r="D14" s="4" t="s">
        <v>145</v>
      </c>
      <c r="E14" s="4" t="s">
        <v>226</v>
      </c>
      <c r="F14" s="17">
        <v>3</v>
      </c>
      <c r="G14" s="17">
        <v>0</v>
      </c>
      <c r="H14" s="17">
        <f t="shared" si="0"/>
        <v>0</v>
      </c>
      <c r="I14" s="17">
        <f t="shared" si="1"/>
        <v>0</v>
      </c>
      <c r="J14" s="17">
        <f t="shared" si="2"/>
        <v>0</v>
      </c>
      <c r="K14" s="17">
        <v>0</v>
      </c>
      <c r="L14" s="17">
        <f t="shared" si="3"/>
        <v>0</v>
      </c>
      <c r="M14" s="29"/>
      <c r="N14" s="29" t="s">
        <v>6</v>
      </c>
      <c r="O14" s="17">
        <f t="shared" si="4"/>
        <v>0</v>
      </c>
      <c r="Z14" s="17">
        <f t="shared" si="5"/>
        <v>0</v>
      </c>
      <c r="AA14" s="17">
        <f t="shared" si="6"/>
        <v>0</v>
      </c>
      <c r="AB14" s="17">
        <f t="shared" si="7"/>
        <v>0</v>
      </c>
      <c r="AD14" s="34">
        <v>21</v>
      </c>
      <c r="AE14" s="34">
        <f>G14*0</f>
        <v>0</v>
      </c>
      <c r="AF14" s="34">
        <f>G14*(1-0)</f>
        <v>0</v>
      </c>
      <c r="AM14" s="34">
        <f t="shared" si="8"/>
        <v>0</v>
      </c>
      <c r="AN14" s="34">
        <f t="shared" si="9"/>
        <v>0</v>
      </c>
      <c r="AO14" s="35" t="s">
        <v>261</v>
      </c>
      <c r="AP14" s="35" t="s">
        <v>261</v>
      </c>
      <c r="AQ14" s="26" t="s">
        <v>278</v>
      </c>
    </row>
    <row r="15" spans="1:43" ht="12.75">
      <c r="A15" s="4" t="s">
        <v>8</v>
      </c>
      <c r="B15" s="4"/>
      <c r="C15" s="4" t="s">
        <v>76</v>
      </c>
      <c r="D15" s="4" t="s">
        <v>146</v>
      </c>
      <c r="E15" s="4" t="s">
        <v>227</v>
      </c>
      <c r="F15" s="17">
        <v>100</v>
      </c>
      <c r="G15" s="17">
        <v>0</v>
      </c>
      <c r="H15" s="17">
        <f t="shared" si="0"/>
        <v>0</v>
      </c>
      <c r="I15" s="17">
        <f t="shared" si="1"/>
        <v>0</v>
      </c>
      <c r="J15" s="17">
        <f t="shared" si="2"/>
        <v>0</v>
      </c>
      <c r="K15" s="17">
        <v>0.05</v>
      </c>
      <c r="L15" s="17">
        <f t="shared" si="3"/>
        <v>5</v>
      </c>
      <c r="M15" s="29"/>
      <c r="N15" s="29" t="s">
        <v>6</v>
      </c>
      <c r="O15" s="17">
        <f t="shared" si="4"/>
        <v>0</v>
      </c>
      <c r="Z15" s="17">
        <f t="shared" si="5"/>
        <v>0</v>
      </c>
      <c r="AA15" s="17">
        <f t="shared" si="6"/>
        <v>0</v>
      </c>
      <c r="AB15" s="17">
        <f t="shared" si="7"/>
        <v>0</v>
      </c>
      <c r="AD15" s="34">
        <v>21</v>
      </c>
      <c r="AE15" s="34">
        <f aca="true" t="shared" si="10" ref="AE15:AE24">G15*1</f>
        <v>0</v>
      </c>
      <c r="AF15" s="34">
        <f aca="true" t="shared" si="11" ref="AF15:AF24">G15*(1-1)</f>
        <v>0</v>
      </c>
      <c r="AM15" s="34">
        <f t="shared" si="8"/>
        <v>0</v>
      </c>
      <c r="AN15" s="34">
        <f t="shared" si="9"/>
        <v>0</v>
      </c>
      <c r="AO15" s="35" t="s">
        <v>261</v>
      </c>
      <c r="AP15" s="35" t="s">
        <v>261</v>
      </c>
      <c r="AQ15" s="26" t="s">
        <v>278</v>
      </c>
    </row>
    <row r="16" spans="1:43" ht="12.75">
      <c r="A16" s="4" t="s">
        <v>9</v>
      </c>
      <c r="B16" s="4"/>
      <c r="C16" s="4" t="s">
        <v>77</v>
      </c>
      <c r="D16" s="68" t="s">
        <v>344</v>
      </c>
      <c r="E16" s="4" t="s">
        <v>225</v>
      </c>
      <c r="F16" s="17">
        <v>2210.9</v>
      </c>
      <c r="G16" s="17">
        <v>0</v>
      </c>
      <c r="H16" s="17">
        <f t="shared" si="0"/>
        <v>0</v>
      </c>
      <c r="I16" s="17">
        <f t="shared" si="1"/>
        <v>0</v>
      </c>
      <c r="J16" s="17">
        <f t="shared" si="2"/>
        <v>0</v>
      </c>
      <c r="K16" s="17">
        <v>0.05</v>
      </c>
      <c r="L16" s="17">
        <f t="shared" si="3"/>
        <v>110.54500000000002</v>
      </c>
      <c r="M16" s="29"/>
      <c r="N16" s="29" t="s">
        <v>6</v>
      </c>
      <c r="O16" s="17">
        <f t="shared" si="4"/>
        <v>0</v>
      </c>
      <c r="Z16" s="17">
        <f t="shared" si="5"/>
        <v>0</v>
      </c>
      <c r="AA16" s="17">
        <f t="shared" si="6"/>
        <v>0</v>
      </c>
      <c r="AB16" s="17">
        <f t="shared" si="7"/>
        <v>0</v>
      </c>
      <c r="AD16" s="34">
        <v>21</v>
      </c>
      <c r="AE16" s="34">
        <f t="shared" si="10"/>
        <v>0</v>
      </c>
      <c r="AF16" s="34">
        <f t="shared" si="11"/>
        <v>0</v>
      </c>
      <c r="AM16" s="34">
        <f t="shared" si="8"/>
        <v>0</v>
      </c>
      <c r="AN16" s="34">
        <f t="shared" si="9"/>
        <v>0</v>
      </c>
      <c r="AO16" s="35" t="s">
        <v>261</v>
      </c>
      <c r="AP16" s="35" t="s">
        <v>261</v>
      </c>
      <c r="AQ16" s="26" t="s">
        <v>278</v>
      </c>
    </row>
    <row r="17" spans="1:43" ht="12.75">
      <c r="A17" s="4" t="s">
        <v>10</v>
      </c>
      <c r="B17" s="4"/>
      <c r="C17" s="4" t="s">
        <v>78</v>
      </c>
      <c r="D17" s="4" t="s">
        <v>148</v>
      </c>
      <c r="E17" s="4" t="s">
        <v>228</v>
      </c>
      <c r="F17" s="17">
        <v>1234.9</v>
      </c>
      <c r="G17" s="17">
        <v>0</v>
      </c>
      <c r="H17" s="17">
        <f t="shared" si="0"/>
        <v>0</v>
      </c>
      <c r="I17" s="17">
        <f t="shared" si="1"/>
        <v>0</v>
      </c>
      <c r="J17" s="17">
        <f t="shared" si="2"/>
        <v>0</v>
      </c>
      <c r="K17" s="17">
        <v>1</v>
      </c>
      <c r="L17" s="17">
        <f t="shared" si="3"/>
        <v>1234.9</v>
      </c>
      <c r="M17" s="29"/>
      <c r="N17" s="29" t="s">
        <v>6</v>
      </c>
      <c r="O17" s="17">
        <f t="shared" si="4"/>
        <v>0</v>
      </c>
      <c r="Z17" s="17">
        <f t="shared" si="5"/>
        <v>0</v>
      </c>
      <c r="AA17" s="17">
        <f t="shared" si="6"/>
        <v>0</v>
      </c>
      <c r="AB17" s="17">
        <f t="shared" si="7"/>
        <v>0</v>
      </c>
      <c r="AD17" s="34">
        <v>21</v>
      </c>
      <c r="AE17" s="34">
        <f t="shared" si="10"/>
        <v>0</v>
      </c>
      <c r="AF17" s="34">
        <f t="shared" si="11"/>
        <v>0</v>
      </c>
      <c r="AM17" s="34">
        <f t="shared" si="8"/>
        <v>0</v>
      </c>
      <c r="AN17" s="34">
        <f t="shared" si="9"/>
        <v>0</v>
      </c>
      <c r="AO17" s="35" t="s">
        <v>261</v>
      </c>
      <c r="AP17" s="35" t="s">
        <v>261</v>
      </c>
      <c r="AQ17" s="26" t="s">
        <v>278</v>
      </c>
    </row>
    <row r="18" spans="1:43" ht="12.75">
      <c r="A18" s="4" t="s">
        <v>11</v>
      </c>
      <c r="B18" s="4"/>
      <c r="C18" s="4" t="s">
        <v>79</v>
      </c>
      <c r="D18" s="4" t="s">
        <v>149</v>
      </c>
      <c r="E18" s="4" t="s">
        <v>225</v>
      </c>
      <c r="F18" s="17">
        <v>916</v>
      </c>
      <c r="G18" s="17">
        <v>0</v>
      </c>
      <c r="H18" s="17">
        <f t="shared" si="0"/>
        <v>0</v>
      </c>
      <c r="I18" s="17">
        <f t="shared" si="1"/>
        <v>0</v>
      </c>
      <c r="J18" s="17">
        <f t="shared" si="2"/>
        <v>0</v>
      </c>
      <c r="K18" s="17">
        <v>0.001</v>
      </c>
      <c r="L18" s="17">
        <f t="shared" si="3"/>
        <v>0.916</v>
      </c>
      <c r="M18" s="29"/>
      <c r="N18" s="29" t="s">
        <v>6</v>
      </c>
      <c r="O18" s="17">
        <f t="shared" si="4"/>
        <v>0</v>
      </c>
      <c r="Z18" s="17">
        <f t="shared" si="5"/>
        <v>0</v>
      </c>
      <c r="AA18" s="17">
        <f t="shared" si="6"/>
        <v>0</v>
      </c>
      <c r="AB18" s="17">
        <f t="shared" si="7"/>
        <v>0</v>
      </c>
      <c r="AD18" s="34">
        <v>21</v>
      </c>
      <c r="AE18" s="34">
        <f t="shared" si="10"/>
        <v>0</v>
      </c>
      <c r="AF18" s="34">
        <f t="shared" si="11"/>
        <v>0</v>
      </c>
      <c r="AM18" s="34">
        <f t="shared" si="8"/>
        <v>0</v>
      </c>
      <c r="AN18" s="34">
        <f t="shared" si="9"/>
        <v>0</v>
      </c>
      <c r="AO18" s="35" t="s">
        <v>261</v>
      </c>
      <c r="AP18" s="35" t="s">
        <v>261</v>
      </c>
      <c r="AQ18" s="26" t="s">
        <v>278</v>
      </c>
    </row>
    <row r="19" spans="1:43" ht="12.75">
      <c r="A19" s="4" t="s">
        <v>12</v>
      </c>
      <c r="B19" s="4"/>
      <c r="C19" s="71" t="s">
        <v>5</v>
      </c>
      <c r="D19" s="73" t="s">
        <v>345</v>
      </c>
      <c r="E19" s="71" t="s">
        <v>5</v>
      </c>
      <c r="F19" s="72">
        <v>0</v>
      </c>
      <c r="G19" s="17">
        <v>0</v>
      </c>
      <c r="H19" s="17">
        <f t="shared" si="0"/>
        <v>0</v>
      </c>
      <c r="I19" s="17">
        <f t="shared" si="1"/>
        <v>0</v>
      </c>
      <c r="J19" s="17">
        <f t="shared" si="2"/>
        <v>0</v>
      </c>
      <c r="K19" s="17">
        <v>0.5</v>
      </c>
      <c r="L19" s="17">
        <f t="shared" si="3"/>
        <v>0</v>
      </c>
      <c r="M19" s="29"/>
      <c r="N19" s="29" t="s">
        <v>6</v>
      </c>
      <c r="O19" s="17">
        <f t="shared" si="4"/>
        <v>0</v>
      </c>
      <c r="Z19" s="17">
        <f t="shared" si="5"/>
        <v>0</v>
      </c>
      <c r="AA19" s="17">
        <f t="shared" si="6"/>
        <v>0</v>
      </c>
      <c r="AB19" s="17">
        <f t="shared" si="7"/>
        <v>0</v>
      </c>
      <c r="AD19" s="34">
        <v>21</v>
      </c>
      <c r="AE19" s="34">
        <f t="shared" si="10"/>
        <v>0</v>
      </c>
      <c r="AF19" s="34">
        <f t="shared" si="11"/>
        <v>0</v>
      </c>
      <c r="AM19" s="34">
        <f t="shared" si="8"/>
        <v>0</v>
      </c>
      <c r="AN19" s="34">
        <f t="shared" si="9"/>
        <v>0</v>
      </c>
      <c r="AO19" s="35" t="s">
        <v>261</v>
      </c>
      <c r="AP19" s="35" t="s">
        <v>261</v>
      </c>
      <c r="AQ19" s="26" t="s">
        <v>278</v>
      </c>
    </row>
    <row r="20" spans="1:43" ht="12.75">
      <c r="A20" s="4" t="s">
        <v>13</v>
      </c>
      <c r="B20" s="4"/>
      <c r="C20" s="4" t="s">
        <v>81</v>
      </c>
      <c r="D20" s="4" t="s">
        <v>151</v>
      </c>
      <c r="E20" s="4" t="s">
        <v>228</v>
      </c>
      <c r="F20" s="17">
        <v>4.6</v>
      </c>
      <c r="G20" s="17">
        <v>0</v>
      </c>
      <c r="H20" s="17">
        <f t="shared" si="0"/>
        <v>0</v>
      </c>
      <c r="I20" s="17">
        <f t="shared" si="1"/>
        <v>0</v>
      </c>
      <c r="J20" s="17">
        <f t="shared" si="2"/>
        <v>0</v>
      </c>
      <c r="K20" s="17">
        <v>1</v>
      </c>
      <c r="L20" s="17">
        <f t="shared" si="3"/>
        <v>4.6</v>
      </c>
      <c r="M20" s="29"/>
      <c r="N20" s="29" t="s">
        <v>6</v>
      </c>
      <c r="O20" s="17">
        <f t="shared" si="4"/>
        <v>0</v>
      </c>
      <c r="Z20" s="17">
        <f t="shared" si="5"/>
        <v>0</v>
      </c>
      <c r="AA20" s="17">
        <f t="shared" si="6"/>
        <v>0</v>
      </c>
      <c r="AB20" s="17">
        <f t="shared" si="7"/>
        <v>0</v>
      </c>
      <c r="AD20" s="34">
        <v>21</v>
      </c>
      <c r="AE20" s="34">
        <f t="shared" si="10"/>
        <v>0</v>
      </c>
      <c r="AF20" s="34">
        <f t="shared" si="11"/>
        <v>0</v>
      </c>
      <c r="AM20" s="34">
        <f t="shared" si="8"/>
        <v>0</v>
      </c>
      <c r="AN20" s="34">
        <f t="shared" si="9"/>
        <v>0</v>
      </c>
      <c r="AO20" s="35" t="s">
        <v>261</v>
      </c>
      <c r="AP20" s="35" t="s">
        <v>261</v>
      </c>
      <c r="AQ20" s="26" t="s">
        <v>278</v>
      </c>
    </row>
    <row r="21" spans="1:43" ht="12.75">
      <c r="A21" s="4" t="s">
        <v>14</v>
      </c>
      <c r="B21" s="4"/>
      <c r="C21" s="4" t="s">
        <v>82</v>
      </c>
      <c r="D21" s="4" t="s">
        <v>152</v>
      </c>
      <c r="E21" s="4" t="s">
        <v>228</v>
      </c>
      <c r="F21" s="17">
        <v>9</v>
      </c>
      <c r="G21" s="17">
        <v>0</v>
      </c>
      <c r="H21" s="17">
        <f t="shared" si="0"/>
        <v>0</v>
      </c>
      <c r="I21" s="17">
        <f t="shared" si="1"/>
        <v>0</v>
      </c>
      <c r="J21" s="17">
        <f t="shared" si="2"/>
        <v>0</v>
      </c>
      <c r="K21" s="17">
        <v>1</v>
      </c>
      <c r="L21" s="17">
        <f t="shared" si="3"/>
        <v>9</v>
      </c>
      <c r="M21" s="29"/>
      <c r="N21" s="29" t="s">
        <v>6</v>
      </c>
      <c r="O21" s="17">
        <f t="shared" si="4"/>
        <v>0</v>
      </c>
      <c r="Z21" s="17">
        <f t="shared" si="5"/>
        <v>0</v>
      </c>
      <c r="AA21" s="17">
        <f t="shared" si="6"/>
        <v>0</v>
      </c>
      <c r="AB21" s="17">
        <f t="shared" si="7"/>
        <v>0</v>
      </c>
      <c r="AD21" s="34">
        <v>21</v>
      </c>
      <c r="AE21" s="34">
        <f t="shared" si="10"/>
        <v>0</v>
      </c>
      <c r="AF21" s="34">
        <f t="shared" si="11"/>
        <v>0</v>
      </c>
      <c r="AM21" s="34">
        <f t="shared" si="8"/>
        <v>0</v>
      </c>
      <c r="AN21" s="34">
        <f t="shared" si="9"/>
        <v>0</v>
      </c>
      <c r="AO21" s="35" t="s">
        <v>261</v>
      </c>
      <c r="AP21" s="35" t="s">
        <v>261</v>
      </c>
      <c r="AQ21" s="26" t="s">
        <v>278</v>
      </c>
    </row>
    <row r="22" spans="1:43" ht="12.75">
      <c r="A22" s="4" t="s">
        <v>15</v>
      </c>
      <c r="B22" s="4"/>
      <c r="C22" s="4" t="s">
        <v>83</v>
      </c>
      <c r="D22" s="4" t="s">
        <v>153</v>
      </c>
      <c r="E22" s="4" t="s">
        <v>227</v>
      </c>
      <c r="F22" s="17">
        <v>74</v>
      </c>
      <c r="G22" s="17">
        <v>0</v>
      </c>
      <c r="H22" s="17">
        <f t="shared" si="0"/>
        <v>0</v>
      </c>
      <c r="I22" s="17">
        <f t="shared" si="1"/>
        <v>0</v>
      </c>
      <c r="J22" s="17">
        <f t="shared" si="2"/>
        <v>0</v>
      </c>
      <c r="K22" s="17">
        <v>0.05</v>
      </c>
      <c r="L22" s="17">
        <f t="shared" si="3"/>
        <v>3.7</v>
      </c>
      <c r="M22" s="29"/>
      <c r="N22" s="29" t="s">
        <v>6</v>
      </c>
      <c r="O22" s="17">
        <f t="shared" si="4"/>
        <v>0</v>
      </c>
      <c r="Z22" s="17">
        <f t="shared" si="5"/>
        <v>0</v>
      </c>
      <c r="AA22" s="17">
        <f t="shared" si="6"/>
        <v>0</v>
      </c>
      <c r="AB22" s="17">
        <f t="shared" si="7"/>
        <v>0</v>
      </c>
      <c r="AD22" s="34">
        <v>21</v>
      </c>
      <c r="AE22" s="34">
        <f t="shared" si="10"/>
        <v>0</v>
      </c>
      <c r="AF22" s="34">
        <f t="shared" si="11"/>
        <v>0</v>
      </c>
      <c r="AM22" s="34">
        <f t="shared" si="8"/>
        <v>0</v>
      </c>
      <c r="AN22" s="34">
        <f t="shared" si="9"/>
        <v>0</v>
      </c>
      <c r="AO22" s="35" t="s">
        <v>261</v>
      </c>
      <c r="AP22" s="35" t="s">
        <v>261</v>
      </c>
      <c r="AQ22" s="26" t="s">
        <v>278</v>
      </c>
    </row>
    <row r="23" spans="1:43" ht="12.75">
      <c r="A23" s="4" t="s">
        <v>16</v>
      </c>
      <c r="B23" s="4"/>
      <c r="C23" s="4" t="s">
        <v>84</v>
      </c>
      <c r="D23" s="4" t="s">
        <v>154</v>
      </c>
      <c r="E23" s="4" t="s">
        <v>227</v>
      </c>
      <c r="F23" s="17">
        <v>20</v>
      </c>
      <c r="G23" s="17">
        <v>0</v>
      </c>
      <c r="H23" s="17">
        <f t="shared" si="0"/>
        <v>0</v>
      </c>
      <c r="I23" s="17">
        <f t="shared" si="1"/>
        <v>0</v>
      </c>
      <c r="J23" s="17">
        <f t="shared" si="2"/>
        <v>0</v>
      </c>
      <c r="K23" s="17">
        <v>0.3</v>
      </c>
      <c r="L23" s="17">
        <f t="shared" si="3"/>
        <v>6</v>
      </c>
      <c r="M23" s="29"/>
      <c r="N23" s="29" t="s">
        <v>6</v>
      </c>
      <c r="O23" s="17">
        <f t="shared" si="4"/>
        <v>0</v>
      </c>
      <c r="Z23" s="17">
        <f t="shared" si="5"/>
        <v>0</v>
      </c>
      <c r="AA23" s="17">
        <f t="shared" si="6"/>
        <v>0</v>
      </c>
      <c r="AB23" s="17">
        <f t="shared" si="7"/>
        <v>0</v>
      </c>
      <c r="AD23" s="34">
        <v>21</v>
      </c>
      <c r="AE23" s="34">
        <f t="shared" si="10"/>
        <v>0</v>
      </c>
      <c r="AF23" s="34">
        <f t="shared" si="11"/>
        <v>0</v>
      </c>
      <c r="AM23" s="34">
        <f t="shared" si="8"/>
        <v>0</v>
      </c>
      <c r="AN23" s="34">
        <f t="shared" si="9"/>
        <v>0</v>
      </c>
      <c r="AO23" s="35" t="s">
        <v>261</v>
      </c>
      <c r="AP23" s="35" t="s">
        <v>261</v>
      </c>
      <c r="AQ23" s="26" t="s">
        <v>278</v>
      </c>
    </row>
    <row r="24" spans="1:43" ht="12.75">
      <c r="A24" s="4" t="s">
        <v>17</v>
      </c>
      <c r="B24" s="4"/>
      <c r="C24" s="4" t="s">
        <v>85</v>
      </c>
      <c r="D24" s="4" t="s">
        <v>155</v>
      </c>
      <c r="E24" s="4" t="s">
        <v>227</v>
      </c>
      <c r="F24" s="17">
        <v>110</v>
      </c>
      <c r="G24" s="17">
        <v>0</v>
      </c>
      <c r="H24" s="17">
        <f t="shared" si="0"/>
        <v>0</v>
      </c>
      <c r="I24" s="17">
        <f t="shared" si="1"/>
        <v>0</v>
      </c>
      <c r="J24" s="17">
        <f t="shared" si="2"/>
        <v>0</v>
      </c>
      <c r="K24" s="17">
        <v>0.05</v>
      </c>
      <c r="L24" s="17">
        <f t="shared" si="3"/>
        <v>5.5</v>
      </c>
      <c r="M24" s="29"/>
      <c r="N24" s="29" t="s">
        <v>6</v>
      </c>
      <c r="O24" s="17">
        <f t="shared" si="4"/>
        <v>0</v>
      </c>
      <c r="Z24" s="17">
        <f t="shared" si="5"/>
        <v>0</v>
      </c>
      <c r="AA24" s="17">
        <f t="shared" si="6"/>
        <v>0</v>
      </c>
      <c r="AB24" s="17">
        <f t="shared" si="7"/>
        <v>0</v>
      </c>
      <c r="AD24" s="34">
        <v>21</v>
      </c>
      <c r="AE24" s="34">
        <f t="shared" si="10"/>
        <v>0</v>
      </c>
      <c r="AF24" s="34">
        <f t="shared" si="11"/>
        <v>0</v>
      </c>
      <c r="AM24" s="34">
        <f t="shared" si="8"/>
        <v>0</v>
      </c>
      <c r="AN24" s="34">
        <f t="shared" si="9"/>
        <v>0</v>
      </c>
      <c r="AO24" s="35" t="s">
        <v>261</v>
      </c>
      <c r="AP24" s="35" t="s">
        <v>261</v>
      </c>
      <c r="AQ24" s="26" t="s">
        <v>278</v>
      </c>
    </row>
    <row r="25" spans="1:43" ht="12.75">
      <c r="A25" s="4" t="s">
        <v>18</v>
      </c>
      <c r="B25" s="4"/>
      <c r="C25" s="4" t="s">
        <v>86</v>
      </c>
      <c r="D25" s="4" t="s">
        <v>156</v>
      </c>
      <c r="E25" s="4" t="s">
        <v>227</v>
      </c>
      <c r="F25" s="17">
        <v>82</v>
      </c>
      <c r="G25" s="17">
        <v>0</v>
      </c>
      <c r="H25" s="17">
        <f t="shared" si="0"/>
        <v>0</v>
      </c>
      <c r="I25" s="17">
        <f t="shared" si="1"/>
        <v>0</v>
      </c>
      <c r="J25" s="17">
        <f t="shared" si="2"/>
        <v>0</v>
      </c>
      <c r="K25" s="17">
        <v>0.05</v>
      </c>
      <c r="L25" s="17">
        <f t="shared" si="3"/>
        <v>4.1000000000000005</v>
      </c>
      <c r="M25" s="29"/>
      <c r="N25" s="29" t="s">
        <v>6</v>
      </c>
      <c r="O25" s="17">
        <f t="shared" si="4"/>
        <v>0</v>
      </c>
      <c r="Z25" s="17">
        <f t="shared" si="5"/>
        <v>0</v>
      </c>
      <c r="AA25" s="17">
        <f t="shared" si="6"/>
        <v>0</v>
      </c>
      <c r="AB25" s="17">
        <f t="shared" si="7"/>
        <v>0</v>
      </c>
      <c r="AD25" s="34">
        <v>21</v>
      </c>
      <c r="AE25" s="34">
        <f>G25*0</f>
        <v>0</v>
      </c>
      <c r="AF25" s="34">
        <f>G25*(1-0)</f>
        <v>0</v>
      </c>
      <c r="AM25" s="34">
        <f t="shared" si="8"/>
        <v>0</v>
      </c>
      <c r="AN25" s="34">
        <f t="shared" si="9"/>
        <v>0</v>
      </c>
      <c r="AO25" s="35" t="s">
        <v>261</v>
      </c>
      <c r="AP25" s="35" t="s">
        <v>261</v>
      </c>
      <c r="AQ25" s="26" t="s">
        <v>278</v>
      </c>
    </row>
    <row r="26" spans="1:43" ht="12.75">
      <c r="A26" s="4" t="s">
        <v>19</v>
      </c>
      <c r="B26" s="4"/>
      <c r="C26" s="4" t="s">
        <v>87</v>
      </c>
      <c r="D26" s="4" t="s">
        <v>157</v>
      </c>
      <c r="E26" s="4" t="s">
        <v>227</v>
      </c>
      <c r="F26" s="17">
        <v>82</v>
      </c>
      <c r="G26" s="17">
        <v>0</v>
      </c>
      <c r="H26" s="17">
        <f t="shared" si="0"/>
        <v>0</v>
      </c>
      <c r="I26" s="17">
        <f t="shared" si="1"/>
        <v>0</v>
      </c>
      <c r="J26" s="17">
        <f t="shared" si="2"/>
        <v>0</v>
      </c>
      <c r="K26" s="17">
        <v>0.05</v>
      </c>
      <c r="L26" s="17">
        <f t="shared" si="3"/>
        <v>4.1000000000000005</v>
      </c>
      <c r="M26" s="29"/>
      <c r="N26" s="29" t="s">
        <v>6</v>
      </c>
      <c r="O26" s="17">
        <f t="shared" si="4"/>
        <v>0</v>
      </c>
      <c r="Z26" s="17">
        <f t="shared" si="5"/>
        <v>0</v>
      </c>
      <c r="AA26" s="17">
        <f t="shared" si="6"/>
        <v>0</v>
      </c>
      <c r="AB26" s="17">
        <f t="shared" si="7"/>
        <v>0</v>
      </c>
      <c r="AD26" s="34">
        <v>21</v>
      </c>
      <c r="AE26" s="34">
        <f>G26*1</f>
        <v>0</v>
      </c>
      <c r="AF26" s="34">
        <f>G26*(1-1)</f>
        <v>0</v>
      </c>
      <c r="AM26" s="34">
        <f t="shared" si="8"/>
        <v>0</v>
      </c>
      <c r="AN26" s="34">
        <f t="shared" si="9"/>
        <v>0</v>
      </c>
      <c r="AO26" s="35" t="s">
        <v>261</v>
      </c>
      <c r="AP26" s="35" t="s">
        <v>261</v>
      </c>
      <c r="AQ26" s="26" t="s">
        <v>278</v>
      </c>
    </row>
    <row r="27" spans="1:43" ht="12.75">
      <c r="A27" s="4" t="s">
        <v>20</v>
      </c>
      <c r="B27" s="4"/>
      <c r="C27" s="4" t="s">
        <v>88</v>
      </c>
      <c r="D27" s="4" t="s">
        <v>158</v>
      </c>
      <c r="E27" s="4" t="s">
        <v>226</v>
      </c>
      <c r="F27" s="17">
        <v>3</v>
      </c>
      <c r="G27" s="17">
        <v>0</v>
      </c>
      <c r="H27" s="17">
        <f t="shared" si="0"/>
        <v>0</v>
      </c>
      <c r="I27" s="17">
        <f t="shared" si="1"/>
        <v>0</v>
      </c>
      <c r="J27" s="17">
        <f t="shared" si="2"/>
        <v>0</v>
      </c>
      <c r="K27" s="17">
        <v>0.2</v>
      </c>
      <c r="L27" s="17">
        <f t="shared" si="3"/>
        <v>0.6000000000000001</v>
      </c>
      <c r="M27" s="29"/>
      <c r="N27" s="29" t="s">
        <v>6</v>
      </c>
      <c r="O27" s="17">
        <f t="shared" si="4"/>
        <v>0</v>
      </c>
      <c r="Z27" s="17">
        <f t="shared" si="5"/>
        <v>0</v>
      </c>
      <c r="AA27" s="17">
        <f t="shared" si="6"/>
        <v>0</v>
      </c>
      <c r="AB27" s="17">
        <f t="shared" si="7"/>
        <v>0</v>
      </c>
      <c r="AD27" s="34">
        <v>21</v>
      </c>
      <c r="AE27" s="34">
        <f>G27*1</f>
        <v>0</v>
      </c>
      <c r="AF27" s="34">
        <f>G27*(1-1)</f>
        <v>0</v>
      </c>
      <c r="AM27" s="34">
        <f t="shared" si="8"/>
        <v>0</v>
      </c>
      <c r="AN27" s="34">
        <f t="shared" si="9"/>
        <v>0</v>
      </c>
      <c r="AO27" s="35" t="s">
        <v>261</v>
      </c>
      <c r="AP27" s="35" t="s">
        <v>261</v>
      </c>
      <c r="AQ27" s="26" t="s">
        <v>278</v>
      </c>
    </row>
    <row r="28" spans="1:43" ht="12.75">
      <c r="A28" s="4" t="s">
        <v>21</v>
      </c>
      <c r="B28" s="4"/>
      <c r="C28" s="4" t="s">
        <v>89</v>
      </c>
      <c r="D28" s="4" t="s">
        <v>159</v>
      </c>
      <c r="E28" s="4" t="s">
        <v>226</v>
      </c>
      <c r="F28" s="69">
        <v>3</v>
      </c>
      <c r="G28" s="17">
        <v>0</v>
      </c>
      <c r="H28" s="17">
        <f t="shared" si="0"/>
        <v>0</v>
      </c>
      <c r="I28" s="17">
        <f t="shared" si="1"/>
        <v>0</v>
      </c>
      <c r="J28" s="17">
        <f t="shared" si="2"/>
        <v>0</v>
      </c>
      <c r="K28" s="17">
        <v>0.1</v>
      </c>
      <c r="L28" s="17">
        <f t="shared" si="3"/>
        <v>0.30000000000000004</v>
      </c>
      <c r="M28" s="29"/>
      <c r="N28" s="29" t="s">
        <v>6</v>
      </c>
      <c r="O28" s="17">
        <f t="shared" si="4"/>
        <v>0</v>
      </c>
      <c r="Z28" s="17">
        <f t="shared" si="5"/>
        <v>0</v>
      </c>
      <c r="AA28" s="17">
        <f t="shared" si="6"/>
        <v>0</v>
      </c>
      <c r="AB28" s="17">
        <f t="shared" si="7"/>
        <v>0</v>
      </c>
      <c r="AD28" s="34">
        <v>21</v>
      </c>
      <c r="AE28" s="34">
        <f>G28*1</f>
        <v>0</v>
      </c>
      <c r="AF28" s="34">
        <f>G28*(1-1)</f>
        <v>0</v>
      </c>
      <c r="AM28" s="34">
        <f t="shared" si="8"/>
        <v>0</v>
      </c>
      <c r="AN28" s="34">
        <f t="shared" si="9"/>
        <v>0</v>
      </c>
      <c r="AO28" s="35" t="s">
        <v>261</v>
      </c>
      <c r="AP28" s="35" t="s">
        <v>261</v>
      </c>
      <c r="AQ28" s="26" t="s">
        <v>278</v>
      </c>
    </row>
    <row r="29" spans="1:43" ht="12.75">
      <c r="A29" s="4" t="s">
        <v>22</v>
      </c>
      <c r="B29" s="4"/>
      <c r="C29" s="4" t="s">
        <v>90</v>
      </c>
      <c r="D29" s="4" t="s">
        <v>160</v>
      </c>
      <c r="E29" s="4" t="s">
        <v>225</v>
      </c>
      <c r="F29" s="17">
        <v>20</v>
      </c>
      <c r="G29" s="17">
        <v>0</v>
      </c>
      <c r="H29" s="17">
        <f t="shared" si="0"/>
        <v>0</v>
      </c>
      <c r="I29" s="17">
        <f t="shared" si="1"/>
        <v>0</v>
      </c>
      <c r="J29" s="17">
        <f t="shared" si="2"/>
        <v>0</v>
      </c>
      <c r="K29" s="17">
        <v>0.08</v>
      </c>
      <c r="L29" s="17">
        <f t="shared" si="3"/>
        <v>1.6</v>
      </c>
      <c r="M29" s="29"/>
      <c r="N29" s="29" t="s">
        <v>6</v>
      </c>
      <c r="O29" s="17">
        <f t="shared" si="4"/>
        <v>0</v>
      </c>
      <c r="Z29" s="17">
        <f t="shared" si="5"/>
        <v>0</v>
      </c>
      <c r="AA29" s="17">
        <f t="shared" si="6"/>
        <v>0</v>
      </c>
      <c r="AB29" s="17">
        <f t="shared" si="7"/>
        <v>0</v>
      </c>
      <c r="AD29" s="34">
        <v>21</v>
      </c>
      <c r="AE29" s="34">
        <f>G29*1</f>
        <v>0</v>
      </c>
      <c r="AF29" s="34">
        <f>G29*(1-1)</f>
        <v>0</v>
      </c>
      <c r="AM29" s="34">
        <f t="shared" si="8"/>
        <v>0</v>
      </c>
      <c r="AN29" s="34">
        <f t="shared" si="9"/>
        <v>0</v>
      </c>
      <c r="AO29" s="35" t="s">
        <v>261</v>
      </c>
      <c r="AP29" s="35" t="s">
        <v>261</v>
      </c>
      <c r="AQ29" s="26" t="s">
        <v>278</v>
      </c>
    </row>
    <row r="30" spans="1:43" ht="12.75">
      <c r="A30" s="4" t="s">
        <v>23</v>
      </c>
      <c r="B30" s="4"/>
      <c r="C30" s="4" t="s">
        <v>91</v>
      </c>
      <c r="D30" s="4" t="s">
        <v>161</v>
      </c>
      <c r="E30" s="4" t="s">
        <v>227</v>
      </c>
      <c r="F30" s="17">
        <v>18</v>
      </c>
      <c r="G30" s="17">
        <v>0</v>
      </c>
      <c r="H30" s="17">
        <f t="shared" si="0"/>
        <v>0</v>
      </c>
      <c r="I30" s="17">
        <f t="shared" si="1"/>
        <v>0</v>
      </c>
      <c r="J30" s="17">
        <f t="shared" si="2"/>
        <v>0</v>
      </c>
      <c r="K30" s="17">
        <v>0.015</v>
      </c>
      <c r="L30" s="17">
        <f t="shared" si="3"/>
        <v>0.27</v>
      </c>
      <c r="M30" s="29"/>
      <c r="N30" s="29" t="s">
        <v>6</v>
      </c>
      <c r="O30" s="17">
        <f t="shared" si="4"/>
        <v>0</v>
      </c>
      <c r="Z30" s="17">
        <f t="shared" si="5"/>
        <v>0</v>
      </c>
      <c r="AA30" s="17">
        <f t="shared" si="6"/>
        <v>0</v>
      </c>
      <c r="AB30" s="17">
        <f t="shared" si="7"/>
        <v>0</v>
      </c>
      <c r="AD30" s="34">
        <v>21</v>
      </c>
      <c r="AE30" s="34">
        <f>G30*1</f>
        <v>0</v>
      </c>
      <c r="AF30" s="34">
        <f>G30*(1-1)</f>
        <v>0</v>
      </c>
      <c r="AM30" s="34">
        <f t="shared" si="8"/>
        <v>0</v>
      </c>
      <c r="AN30" s="34">
        <f t="shared" si="9"/>
        <v>0</v>
      </c>
      <c r="AO30" s="35" t="s">
        <v>261</v>
      </c>
      <c r="AP30" s="35" t="s">
        <v>261</v>
      </c>
      <c r="AQ30" s="26" t="s">
        <v>278</v>
      </c>
    </row>
    <row r="31" spans="1:37" ht="12.75">
      <c r="A31" s="5"/>
      <c r="B31" s="13"/>
      <c r="C31" s="13" t="s">
        <v>16</v>
      </c>
      <c r="D31" s="93" t="s">
        <v>162</v>
      </c>
      <c r="E31" s="94"/>
      <c r="F31" s="94"/>
      <c r="G31" s="94"/>
      <c r="H31" s="37">
        <f>SUM(H32:H38)</f>
        <v>0</v>
      </c>
      <c r="I31" s="37">
        <f>SUM(I32:I38)</f>
        <v>0</v>
      </c>
      <c r="J31" s="37">
        <f>H31+I31</f>
        <v>0</v>
      </c>
      <c r="K31" s="26"/>
      <c r="L31" s="37">
        <f>SUM(L32:L38)</f>
        <v>10.29915</v>
      </c>
      <c r="M31" s="26"/>
      <c r="P31" s="37">
        <f>IF(Q31="PR",J31,SUM(O32:O38))</f>
        <v>0</v>
      </c>
      <c r="Q31" s="26" t="s">
        <v>252</v>
      </c>
      <c r="R31" s="37">
        <f>IF(Q31="HS",H31,0)</f>
        <v>0</v>
      </c>
      <c r="S31" s="37">
        <f>IF(Q31="HS",I31-P31,0)</f>
        <v>0</v>
      </c>
      <c r="T31" s="37">
        <f>IF(Q31="PS",H31,0)</f>
        <v>0</v>
      </c>
      <c r="U31" s="37">
        <f>IF(Q31="PS",I31-P31,0)</f>
        <v>0</v>
      </c>
      <c r="V31" s="37">
        <f>IF(Q31="MP",H31,0)</f>
        <v>0</v>
      </c>
      <c r="W31" s="37">
        <f>IF(Q31="MP",I31-P31,0)</f>
        <v>0</v>
      </c>
      <c r="X31" s="37">
        <f>IF(Q31="OM",H31,0)</f>
        <v>0</v>
      </c>
      <c r="Y31" s="26"/>
      <c r="AI31" s="37">
        <f>SUM(Z32:Z38)</f>
        <v>0</v>
      </c>
      <c r="AJ31" s="37">
        <f>SUM(AA32:AA38)</f>
        <v>0</v>
      </c>
      <c r="AK31" s="37">
        <f>SUM(AB32:AB38)</f>
        <v>0</v>
      </c>
    </row>
    <row r="32" spans="1:43" ht="12.75">
      <c r="A32" s="4" t="s">
        <v>24</v>
      </c>
      <c r="B32" s="4"/>
      <c r="C32" s="4" t="s">
        <v>92</v>
      </c>
      <c r="D32" s="4" t="s">
        <v>163</v>
      </c>
      <c r="E32" s="4" t="s">
        <v>225</v>
      </c>
      <c r="F32" s="17">
        <v>14</v>
      </c>
      <c r="G32" s="17">
        <v>0</v>
      </c>
      <c r="H32" s="17">
        <f aca="true" t="shared" si="12" ref="H32:H38">ROUND(F32*AE32,2)</f>
        <v>0</v>
      </c>
      <c r="I32" s="17">
        <f aca="true" t="shared" si="13" ref="I32:I38">J32-H32</f>
        <v>0</v>
      </c>
      <c r="J32" s="17">
        <f aca="true" t="shared" si="14" ref="J32:J38">ROUND(F32*G32,2)</f>
        <v>0</v>
      </c>
      <c r="K32" s="17">
        <v>0.316</v>
      </c>
      <c r="L32" s="17">
        <f aca="true" t="shared" si="15" ref="L32:L38">F32*K32</f>
        <v>4.424</v>
      </c>
      <c r="M32" s="29" t="s">
        <v>248</v>
      </c>
      <c r="N32" s="29" t="s">
        <v>6</v>
      </c>
      <c r="O32" s="17">
        <f aca="true" t="shared" si="16" ref="O32:O38">IF(N32="5",I32,0)</f>
        <v>0</v>
      </c>
      <c r="Z32" s="17">
        <f aca="true" t="shared" si="17" ref="Z32:Z38">IF(AD32=0,J32,0)</f>
        <v>0</v>
      </c>
      <c r="AA32" s="17">
        <f aca="true" t="shared" si="18" ref="AA32:AA38">IF(AD32=15,J32,0)</f>
        <v>0</v>
      </c>
      <c r="AB32" s="17">
        <f aca="true" t="shared" si="19" ref="AB32:AB38">IF(AD32=21,J32,0)</f>
        <v>0</v>
      </c>
      <c r="AD32" s="34">
        <v>21</v>
      </c>
      <c r="AE32" s="34">
        <f>G32*0</f>
        <v>0</v>
      </c>
      <c r="AF32" s="34">
        <f>G32*(1-0)</f>
        <v>0</v>
      </c>
      <c r="AM32" s="34">
        <f aca="true" t="shared" si="20" ref="AM32:AM38">F32*AE32</f>
        <v>0</v>
      </c>
      <c r="AN32" s="34">
        <f aca="true" t="shared" si="21" ref="AN32:AN38">F32*AF32</f>
        <v>0</v>
      </c>
      <c r="AO32" s="35" t="s">
        <v>262</v>
      </c>
      <c r="AP32" s="35" t="s">
        <v>274</v>
      </c>
      <c r="AQ32" s="26" t="s">
        <v>278</v>
      </c>
    </row>
    <row r="33" spans="1:43" ht="12.75">
      <c r="A33" s="4" t="s">
        <v>25</v>
      </c>
      <c r="B33" s="4"/>
      <c r="C33" s="4" t="s">
        <v>93</v>
      </c>
      <c r="D33" s="4" t="s">
        <v>164</v>
      </c>
      <c r="E33" s="4" t="s">
        <v>225</v>
      </c>
      <c r="F33" s="17">
        <v>25</v>
      </c>
      <c r="G33" s="17">
        <v>0</v>
      </c>
      <c r="H33" s="17">
        <f t="shared" si="12"/>
        <v>0</v>
      </c>
      <c r="I33" s="17">
        <f t="shared" si="13"/>
        <v>0</v>
      </c>
      <c r="J33" s="17">
        <f t="shared" si="14"/>
        <v>0</v>
      </c>
      <c r="K33" s="17">
        <v>0.235</v>
      </c>
      <c r="L33" s="17">
        <f t="shared" si="15"/>
        <v>5.875</v>
      </c>
      <c r="M33" s="29" t="s">
        <v>248</v>
      </c>
      <c r="N33" s="29" t="s">
        <v>6</v>
      </c>
      <c r="O33" s="17">
        <f t="shared" si="16"/>
        <v>0</v>
      </c>
      <c r="Z33" s="17">
        <f t="shared" si="17"/>
        <v>0</v>
      </c>
      <c r="AA33" s="17">
        <f t="shared" si="18"/>
        <v>0</v>
      </c>
      <c r="AB33" s="17">
        <f t="shared" si="19"/>
        <v>0</v>
      </c>
      <c r="AD33" s="34">
        <v>21</v>
      </c>
      <c r="AE33" s="34">
        <f>G33*0</f>
        <v>0</v>
      </c>
      <c r="AF33" s="34">
        <f>G33*(1-0)</f>
        <v>0</v>
      </c>
      <c r="AM33" s="34">
        <f t="shared" si="20"/>
        <v>0</v>
      </c>
      <c r="AN33" s="34">
        <f t="shared" si="21"/>
        <v>0</v>
      </c>
      <c r="AO33" s="35" t="s">
        <v>262</v>
      </c>
      <c r="AP33" s="35" t="s">
        <v>274</v>
      </c>
      <c r="AQ33" s="26" t="s">
        <v>278</v>
      </c>
    </row>
    <row r="34" spans="1:43" ht="12.75">
      <c r="A34" s="4" t="s">
        <v>26</v>
      </c>
      <c r="B34" s="4"/>
      <c r="C34" s="4" t="s">
        <v>94</v>
      </c>
      <c r="D34" s="4" t="s">
        <v>165</v>
      </c>
      <c r="E34" s="4" t="s">
        <v>226</v>
      </c>
      <c r="F34" s="17">
        <v>2</v>
      </c>
      <c r="G34" s="17">
        <v>0</v>
      </c>
      <c r="H34" s="17">
        <f t="shared" si="12"/>
        <v>0</v>
      </c>
      <c r="I34" s="17">
        <f t="shared" si="13"/>
        <v>0</v>
      </c>
      <c r="J34" s="17">
        <f t="shared" si="14"/>
        <v>0</v>
      </c>
      <c r="K34" s="17">
        <v>0</v>
      </c>
      <c r="L34" s="17">
        <f t="shared" si="15"/>
        <v>0</v>
      </c>
      <c r="M34" s="29" t="s">
        <v>248</v>
      </c>
      <c r="N34" s="29" t="s">
        <v>6</v>
      </c>
      <c r="O34" s="17">
        <f t="shared" si="16"/>
        <v>0</v>
      </c>
      <c r="Z34" s="17">
        <f t="shared" si="17"/>
        <v>0</v>
      </c>
      <c r="AA34" s="17">
        <f t="shared" si="18"/>
        <v>0</v>
      </c>
      <c r="AB34" s="17">
        <f t="shared" si="19"/>
        <v>0</v>
      </c>
      <c r="AD34" s="34">
        <v>21</v>
      </c>
      <c r="AE34" s="34">
        <f>G34*0</f>
        <v>0</v>
      </c>
      <c r="AF34" s="34">
        <f>G34*(1-0)</f>
        <v>0</v>
      </c>
      <c r="AM34" s="34">
        <f t="shared" si="20"/>
        <v>0</v>
      </c>
      <c r="AN34" s="34">
        <f t="shared" si="21"/>
        <v>0</v>
      </c>
      <c r="AO34" s="35" t="s">
        <v>262</v>
      </c>
      <c r="AP34" s="35" t="s">
        <v>274</v>
      </c>
      <c r="AQ34" s="26" t="s">
        <v>278</v>
      </c>
    </row>
    <row r="35" spans="1:43" ht="12.75">
      <c r="A35" s="4" t="s">
        <v>27</v>
      </c>
      <c r="B35" s="4"/>
      <c r="C35" s="4" t="s">
        <v>95</v>
      </c>
      <c r="D35" s="4" t="s">
        <v>166</v>
      </c>
      <c r="E35" s="4" t="s">
        <v>226</v>
      </c>
      <c r="F35" s="17">
        <v>2</v>
      </c>
      <c r="G35" s="17">
        <v>0</v>
      </c>
      <c r="H35" s="17">
        <f t="shared" si="12"/>
        <v>0</v>
      </c>
      <c r="I35" s="17">
        <f t="shared" si="13"/>
        <v>0</v>
      </c>
      <c r="J35" s="17">
        <f t="shared" si="14"/>
        <v>0</v>
      </c>
      <c r="K35" s="17">
        <v>5E-05</v>
      </c>
      <c r="L35" s="17">
        <f t="shared" si="15"/>
        <v>0.0001</v>
      </c>
      <c r="M35" s="29" t="s">
        <v>248</v>
      </c>
      <c r="N35" s="29" t="s">
        <v>6</v>
      </c>
      <c r="O35" s="17">
        <f t="shared" si="16"/>
        <v>0</v>
      </c>
      <c r="Z35" s="17">
        <f t="shared" si="17"/>
        <v>0</v>
      </c>
      <c r="AA35" s="17">
        <f t="shared" si="18"/>
        <v>0</v>
      </c>
      <c r="AB35" s="17">
        <f t="shared" si="19"/>
        <v>0</v>
      </c>
      <c r="AD35" s="34">
        <v>21</v>
      </c>
      <c r="AE35" s="34">
        <f>G35*0.00929245997676885</f>
        <v>0</v>
      </c>
      <c r="AF35" s="34">
        <f>G35*(1-0.00929245997676885)</f>
        <v>0</v>
      </c>
      <c r="AM35" s="34">
        <f t="shared" si="20"/>
        <v>0</v>
      </c>
      <c r="AN35" s="34">
        <f t="shared" si="21"/>
        <v>0</v>
      </c>
      <c r="AO35" s="35" t="s">
        <v>262</v>
      </c>
      <c r="AP35" s="35" t="s">
        <v>274</v>
      </c>
      <c r="AQ35" s="26" t="s">
        <v>278</v>
      </c>
    </row>
    <row r="36" spans="1:43" ht="12.75">
      <c r="A36" s="4" t="s">
        <v>28</v>
      </c>
      <c r="B36" s="4"/>
      <c r="C36" s="4" t="s">
        <v>96</v>
      </c>
      <c r="D36" s="4" t="s">
        <v>167</v>
      </c>
      <c r="E36" s="4" t="s">
        <v>225</v>
      </c>
      <c r="F36" s="17">
        <v>20</v>
      </c>
      <c r="G36" s="17">
        <v>0</v>
      </c>
      <c r="H36" s="17">
        <f t="shared" si="12"/>
        <v>0</v>
      </c>
      <c r="I36" s="17">
        <f t="shared" si="13"/>
        <v>0</v>
      </c>
      <c r="J36" s="17">
        <f t="shared" si="14"/>
        <v>0</v>
      </c>
      <c r="K36" s="17">
        <v>0</v>
      </c>
      <c r="L36" s="17">
        <f t="shared" si="15"/>
        <v>0</v>
      </c>
      <c r="M36" s="29" t="s">
        <v>248</v>
      </c>
      <c r="N36" s="29" t="s">
        <v>6</v>
      </c>
      <c r="O36" s="17">
        <f t="shared" si="16"/>
        <v>0</v>
      </c>
      <c r="Z36" s="17">
        <f t="shared" si="17"/>
        <v>0</v>
      </c>
      <c r="AA36" s="17">
        <f t="shared" si="18"/>
        <v>0</v>
      </c>
      <c r="AB36" s="17">
        <f t="shared" si="19"/>
        <v>0</v>
      </c>
      <c r="AD36" s="34">
        <v>21</v>
      </c>
      <c r="AE36" s="34">
        <f>G36*0</f>
        <v>0</v>
      </c>
      <c r="AF36" s="34">
        <f>G36*(1-0)</f>
        <v>0</v>
      </c>
      <c r="AM36" s="34">
        <f t="shared" si="20"/>
        <v>0</v>
      </c>
      <c r="AN36" s="34">
        <f t="shared" si="21"/>
        <v>0</v>
      </c>
      <c r="AO36" s="35" t="s">
        <v>262</v>
      </c>
      <c r="AP36" s="35" t="s">
        <v>274</v>
      </c>
      <c r="AQ36" s="26" t="s">
        <v>278</v>
      </c>
    </row>
    <row r="37" spans="1:43" ht="12.75">
      <c r="A37" s="4" t="s">
        <v>29</v>
      </c>
      <c r="B37" s="4"/>
      <c r="C37" s="4" t="s">
        <v>97</v>
      </c>
      <c r="D37" s="4" t="s">
        <v>168</v>
      </c>
      <c r="E37" s="4" t="s">
        <v>226</v>
      </c>
      <c r="F37" s="17">
        <v>1</v>
      </c>
      <c r="G37" s="17">
        <v>0</v>
      </c>
      <c r="H37" s="17">
        <f t="shared" si="12"/>
        <v>0</v>
      </c>
      <c r="I37" s="17">
        <f t="shared" si="13"/>
        <v>0</v>
      </c>
      <c r="J37" s="17">
        <f t="shared" si="14"/>
        <v>0</v>
      </c>
      <c r="K37" s="17">
        <v>0</v>
      </c>
      <c r="L37" s="17">
        <f t="shared" si="15"/>
        <v>0</v>
      </c>
      <c r="M37" s="29" t="s">
        <v>248</v>
      </c>
      <c r="N37" s="29" t="s">
        <v>6</v>
      </c>
      <c r="O37" s="17">
        <f t="shared" si="16"/>
        <v>0</v>
      </c>
      <c r="Z37" s="17">
        <f t="shared" si="17"/>
        <v>0</v>
      </c>
      <c r="AA37" s="17">
        <f t="shared" si="18"/>
        <v>0</v>
      </c>
      <c r="AB37" s="17">
        <f t="shared" si="19"/>
        <v>0</v>
      </c>
      <c r="AD37" s="34">
        <v>21</v>
      </c>
      <c r="AE37" s="34">
        <f>G37*0</f>
        <v>0</v>
      </c>
      <c r="AF37" s="34">
        <f>G37*(1-0)</f>
        <v>0</v>
      </c>
      <c r="AM37" s="34">
        <f t="shared" si="20"/>
        <v>0</v>
      </c>
      <c r="AN37" s="34">
        <f t="shared" si="21"/>
        <v>0</v>
      </c>
      <c r="AO37" s="35" t="s">
        <v>262</v>
      </c>
      <c r="AP37" s="35" t="s">
        <v>274</v>
      </c>
      <c r="AQ37" s="26" t="s">
        <v>278</v>
      </c>
    </row>
    <row r="38" spans="1:43" ht="12.75">
      <c r="A38" s="4" t="s">
        <v>30</v>
      </c>
      <c r="B38" s="4"/>
      <c r="C38" s="4" t="s">
        <v>98</v>
      </c>
      <c r="D38" s="4" t="s">
        <v>169</v>
      </c>
      <c r="E38" s="4" t="s">
        <v>226</v>
      </c>
      <c r="F38" s="17">
        <v>1</v>
      </c>
      <c r="G38" s="17">
        <v>0</v>
      </c>
      <c r="H38" s="17">
        <f t="shared" si="12"/>
        <v>0</v>
      </c>
      <c r="I38" s="17">
        <f t="shared" si="13"/>
        <v>0</v>
      </c>
      <c r="J38" s="17">
        <f t="shared" si="14"/>
        <v>0</v>
      </c>
      <c r="K38" s="17">
        <v>5E-05</v>
      </c>
      <c r="L38" s="17">
        <f t="shared" si="15"/>
        <v>5E-05</v>
      </c>
      <c r="M38" s="29" t="s">
        <v>248</v>
      </c>
      <c r="N38" s="29" t="s">
        <v>6</v>
      </c>
      <c r="O38" s="17">
        <f t="shared" si="16"/>
        <v>0</v>
      </c>
      <c r="Z38" s="17">
        <f t="shared" si="17"/>
        <v>0</v>
      </c>
      <c r="AA38" s="17">
        <f t="shared" si="18"/>
        <v>0</v>
      </c>
      <c r="AB38" s="17">
        <f t="shared" si="19"/>
        <v>0</v>
      </c>
      <c r="AD38" s="34">
        <v>21</v>
      </c>
      <c r="AE38" s="34">
        <f>G38*0.00396124865446717</f>
        <v>0</v>
      </c>
      <c r="AF38" s="34">
        <f>G38*(1-0.00396124865446717)</f>
        <v>0</v>
      </c>
      <c r="AM38" s="34">
        <f t="shared" si="20"/>
        <v>0</v>
      </c>
      <c r="AN38" s="34">
        <f t="shared" si="21"/>
        <v>0</v>
      </c>
      <c r="AO38" s="35" t="s">
        <v>262</v>
      </c>
      <c r="AP38" s="35" t="s">
        <v>274</v>
      </c>
      <c r="AQ38" s="26" t="s">
        <v>278</v>
      </c>
    </row>
    <row r="39" spans="1:37" ht="12.75">
      <c r="A39" s="5"/>
      <c r="B39" s="13"/>
      <c r="C39" s="13" t="s">
        <v>17</v>
      </c>
      <c r="D39" s="93" t="s">
        <v>170</v>
      </c>
      <c r="E39" s="94"/>
      <c r="F39" s="94"/>
      <c r="G39" s="94"/>
      <c r="H39" s="37">
        <f>SUM(H40:H41)</f>
        <v>0</v>
      </c>
      <c r="I39" s="37">
        <f>SUM(I40:I41)</f>
        <v>0</v>
      </c>
      <c r="J39" s="37">
        <f>H39+I39</f>
        <v>0</v>
      </c>
      <c r="K39" s="26"/>
      <c r="L39" s="37">
        <f>SUM(L40:L41)</f>
        <v>0</v>
      </c>
      <c r="M39" s="26"/>
      <c r="P39" s="37">
        <f>IF(Q39="PR",J39,SUM(O40:O41))</f>
        <v>0</v>
      </c>
      <c r="Q39" s="26" t="s">
        <v>252</v>
      </c>
      <c r="R39" s="37">
        <f>IF(Q39="HS",H39,0)</f>
        <v>0</v>
      </c>
      <c r="S39" s="37">
        <f>IF(Q39="HS",I39-P39,0)</f>
        <v>0</v>
      </c>
      <c r="T39" s="37">
        <f>IF(Q39="PS",H39,0)</f>
        <v>0</v>
      </c>
      <c r="U39" s="37">
        <f>IF(Q39="PS",I39-P39,0)</f>
        <v>0</v>
      </c>
      <c r="V39" s="37">
        <f>IF(Q39="MP",H39,0)</f>
        <v>0</v>
      </c>
      <c r="W39" s="37">
        <f>IF(Q39="MP",I39-P39,0)</f>
        <v>0</v>
      </c>
      <c r="X39" s="37">
        <f>IF(Q39="OM",H39,0)</f>
        <v>0</v>
      </c>
      <c r="Y39" s="26"/>
      <c r="AI39" s="37">
        <f>SUM(Z40:Z41)</f>
        <v>0</v>
      </c>
      <c r="AJ39" s="37">
        <f>SUM(AA40:AA41)</f>
        <v>0</v>
      </c>
      <c r="AK39" s="37">
        <f>SUM(AB40:AB41)</f>
        <v>0</v>
      </c>
    </row>
    <row r="40" spans="1:43" ht="12.75">
      <c r="A40" s="4" t="s">
        <v>31</v>
      </c>
      <c r="B40" s="4"/>
      <c r="C40" s="4" t="s">
        <v>99</v>
      </c>
      <c r="D40" s="4" t="s">
        <v>171</v>
      </c>
      <c r="E40" s="4" t="s">
        <v>229</v>
      </c>
      <c r="F40" s="17">
        <v>684</v>
      </c>
      <c r="G40" s="17">
        <v>0</v>
      </c>
      <c r="H40" s="17">
        <f>ROUND(F40*AE40,2)</f>
        <v>0</v>
      </c>
      <c r="I40" s="17">
        <f>J40-H40</f>
        <v>0</v>
      </c>
      <c r="J40" s="17">
        <f>ROUND(F40*G40,2)</f>
        <v>0</v>
      </c>
      <c r="K40" s="17">
        <v>0</v>
      </c>
      <c r="L40" s="17">
        <f>F40*K40</f>
        <v>0</v>
      </c>
      <c r="M40" s="29" t="s">
        <v>248</v>
      </c>
      <c r="N40" s="29" t="s">
        <v>6</v>
      </c>
      <c r="O40" s="17">
        <f>IF(N40="5",I40,0)</f>
        <v>0</v>
      </c>
      <c r="Z40" s="17">
        <f>IF(AD40=0,J40,0)</f>
        <v>0</v>
      </c>
      <c r="AA40" s="17">
        <f>IF(AD40=15,J40,0)</f>
        <v>0</v>
      </c>
      <c r="AB40" s="17">
        <f>IF(AD40=21,J40,0)</f>
        <v>0</v>
      </c>
      <c r="AD40" s="34">
        <v>21</v>
      </c>
      <c r="AE40" s="34">
        <f>G40*0</f>
        <v>0</v>
      </c>
      <c r="AF40" s="34">
        <f>G40*(1-0)</f>
        <v>0</v>
      </c>
      <c r="AM40" s="34">
        <f>F40*AE40</f>
        <v>0</v>
      </c>
      <c r="AN40" s="34">
        <f>F40*AF40</f>
        <v>0</v>
      </c>
      <c r="AO40" s="35" t="s">
        <v>263</v>
      </c>
      <c r="AP40" s="35" t="s">
        <v>274</v>
      </c>
      <c r="AQ40" s="26" t="s">
        <v>278</v>
      </c>
    </row>
    <row r="41" spans="1:43" ht="12.75">
      <c r="A41" s="4" t="s">
        <v>32</v>
      </c>
      <c r="B41" s="4"/>
      <c r="C41" s="4" t="s">
        <v>100</v>
      </c>
      <c r="D41" s="4" t="s">
        <v>172</v>
      </c>
      <c r="E41" s="4" t="s">
        <v>229</v>
      </c>
      <c r="F41" s="17">
        <v>68.4</v>
      </c>
      <c r="G41" s="17">
        <v>0</v>
      </c>
      <c r="H41" s="17">
        <f>ROUND(F41*AE41,2)</f>
        <v>0</v>
      </c>
      <c r="I41" s="17">
        <f>J41-H41</f>
        <v>0</v>
      </c>
      <c r="J41" s="17">
        <f>ROUND(F41*G41,2)</f>
        <v>0</v>
      </c>
      <c r="K41" s="17">
        <v>0</v>
      </c>
      <c r="L41" s="17">
        <f>F41*K41</f>
        <v>0</v>
      </c>
      <c r="M41" s="29" t="s">
        <v>248</v>
      </c>
      <c r="N41" s="29" t="s">
        <v>6</v>
      </c>
      <c r="O41" s="17">
        <f>IF(N41="5",I41,0)</f>
        <v>0</v>
      </c>
      <c r="Z41" s="17">
        <f>IF(AD41=0,J41,0)</f>
        <v>0</v>
      </c>
      <c r="AA41" s="17">
        <f>IF(AD41=15,J41,0)</f>
        <v>0</v>
      </c>
      <c r="AB41" s="17">
        <f>IF(AD41=21,J41,0)</f>
        <v>0</v>
      </c>
      <c r="AD41" s="34">
        <v>21</v>
      </c>
      <c r="AE41" s="34">
        <f>G41*0</f>
        <v>0</v>
      </c>
      <c r="AF41" s="34">
        <f>G41*(1-0)</f>
        <v>0</v>
      </c>
      <c r="AM41" s="34">
        <f>F41*AE41</f>
        <v>0</v>
      </c>
      <c r="AN41" s="34">
        <f>F41*AF41</f>
        <v>0</v>
      </c>
      <c r="AO41" s="35" t="s">
        <v>263</v>
      </c>
      <c r="AP41" s="35" t="s">
        <v>274</v>
      </c>
      <c r="AQ41" s="26" t="s">
        <v>278</v>
      </c>
    </row>
    <row r="42" spans="1:37" ht="12.75">
      <c r="A42" s="5"/>
      <c r="B42" s="13"/>
      <c r="C42" s="13" t="s">
        <v>18</v>
      </c>
      <c r="D42" s="93" t="s">
        <v>173</v>
      </c>
      <c r="E42" s="94"/>
      <c r="F42" s="94"/>
      <c r="G42" s="94"/>
      <c r="H42" s="37">
        <f>SUM(H43:H44)</f>
        <v>0</v>
      </c>
      <c r="I42" s="37">
        <f>SUM(I43:I44)</f>
        <v>0</v>
      </c>
      <c r="J42" s="37">
        <f>H42+I42</f>
        <v>0</v>
      </c>
      <c r="K42" s="26"/>
      <c r="L42" s="37">
        <f>SUM(L43:L44)</f>
        <v>0</v>
      </c>
      <c r="M42" s="26"/>
      <c r="P42" s="37">
        <f>IF(Q42="PR",J42,SUM(O43:O44))</f>
        <v>0</v>
      </c>
      <c r="Q42" s="26" t="s">
        <v>252</v>
      </c>
      <c r="R42" s="37">
        <f>IF(Q42="HS",H42,0)</f>
        <v>0</v>
      </c>
      <c r="S42" s="37">
        <f>IF(Q42="HS",I42-P42,0)</f>
        <v>0</v>
      </c>
      <c r="T42" s="37">
        <f>IF(Q42="PS",H42,0)</f>
        <v>0</v>
      </c>
      <c r="U42" s="37">
        <f>IF(Q42="PS",I42-P42,0)</f>
        <v>0</v>
      </c>
      <c r="V42" s="37">
        <f>IF(Q42="MP",H42,0)</f>
        <v>0</v>
      </c>
      <c r="W42" s="37">
        <f>IF(Q42="MP",I42-P42,0)</f>
        <v>0</v>
      </c>
      <c r="X42" s="37">
        <f>IF(Q42="OM",H42,0)</f>
        <v>0</v>
      </c>
      <c r="Y42" s="26"/>
      <c r="AI42" s="37">
        <f>SUM(Z43:Z44)</f>
        <v>0</v>
      </c>
      <c r="AJ42" s="37">
        <f>SUM(AA43:AA44)</f>
        <v>0</v>
      </c>
      <c r="AK42" s="37">
        <f>SUM(AB43:AB44)</f>
        <v>0</v>
      </c>
    </row>
    <row r="43" spans="1:43" ht="12.75">
      <c r="A43" s="4" t="s">
        <v>33</v>
      </c>
      <c r="B43" s="4"/>
      <c r="C43" s="4" t="s">
        <v>101</v>
      </c>
      <c r="D43" s="4" t="s">
        <v>174</v>
      </c>
      <c r="E43" s="4" t="s">
        <v>229</v>
      </c>
      <c r="F43" s="17">
        <v>112</v>
      </c>
      <c r="G43" s="17">
        <v>0</v>
      </c>
      <c r="H43" s="17">
        <f>ROUND(F43*AE43,2)</f>
        <v>0</v>
      </c>
      <c r="I43" s="17">
        <f>J43-H43</f>
        <v>0</v>
      </c>
      <c r="J43" s="17">
        <f>ROUND(F43*G43,2)</f>
        <v>0</v>
      </c>
      <c r="K43" s="17">
        <v>0</v>
      </c>
      <c r="L43" s="17">
        <f>F43*K43</f>
        <v>0</v>
      </c>
      <c r="M43" s="29" t="s">
        <v>249</v>
      </c>
      <c r="N43" s="29" t="s">
        <v>6</v>
      </c>
      <c r="O43" s="17">
        <f>IF(N43="5",I43,0)</f>
        <v>0</v>
      </c>
      <c r="Z43" s="17">
        <f>IF(AD43=0,J43,0)</f>
        <v>0</v>
      </c>
      <c r="AA43" s="17">
        <f>IF(AD43=15,J43,0)</f>
        <v>0</v>
      </c>
      <c r="AB43" s="17">
        <f>IF(AD43=21,J43,0)</f>
        <v>0</v>
      </c>
      <c r="AD43" s="34">
        <v>21</v>
      </c>
      <c r="AE43" s="34">
        <f>G43*0</f>
        <v>0</v>
      </c>
      <c r="AF43" s="34">
        <f>G43*(1-0)</f>
        <v>0</v>
      </c>
      <c r="AM43" s="34">
        <f>F43*AE43</f>
        <v>0</v>
      </c>
      <c r="AN43" s="34">
        <f>F43*AF43</f>
        <v>0</v>
      </c>
      <c r="AO43" s="35" t="s">
        <v>264</v>
      </c>
      <c r="AP43" s="35" t="s">
        <v>274</v>
      </c>
      <c r="AQ43" s="26" t="s">
        <v>278</v>
      </c>
    </row>
    <row r="44" spans="1:43" ht="12.75">
      <c r="A44" s="4" t="s">
        <v>34</v>
      </c>
      <c r="B44" s="4"/>
      <c r="C44" s="4" t="s">
        <v>102</v>
      </c>
      <c r="D44" s="4" t="s">
        <v>175</v>
      </c>
      <c r="E44" s="4" t="s">
        <v>229</v>
      </c>
      <c r="F44" s="17">
        <v>97.2</v>
      </c>
      <c r="G44" s="17">
        <v>0</v>
      </c>
      <c r="H44" s="17">
        <f>ROUND(F44*AE44,2)</f>
        <v>0</v>
      </c>
      <c r="I44" s="17">
        <f>J44-H44</f>
        <v>0</v>
      </c>
      <c r="J44" s="17">
        <f>ROUND(F44*G44,2)</f>
        <v>0</v>
      </c>
      <c r="K44" s="17">
        <v>0</v>
      </c>
      <c r="L44" s="17">
        <f>F44*K44</f>
        <v>0</v>
      </c>
      <c r="M44" s="29" t="s">
        <v>248</v>
      </c>
      <c r="N44" s="29" t="s">
        <v>6</v>
      </c>
      <c r="O44" s="17">
        <f>IF(N44="5",I44,0)</f>
        <v>0</v>
      </c>
      <c r="Z44" s="17">
        <f>IF(AD44=0,J44,0)</f>
        <v>0</v>
      </c>
      <c r="AA44" s="17">
        <f>IF(AD44=15,J44,0)</f>
        <v>0</v>
      </c>
      <c r="AB44" s="17">
        <f>IF(AD44=21,J44,0)</f>
        <v>0</v>
      </c>
      <c r="AD44" s="34">
        <v>21</v>
      </c>
      <c r="AE44" s="34">
        <f>G44*0</f>
        <v>0</v>
      </c>
      <c r="AF44" s="34">
        <f>G44*(1-0)</f>
        <v>0</v>
      </c>
      <c r="AM44" s="34">
        <f>F44*AE44</f>
        <v>0</v>
      </c>
      <c r="AN44" s="34">
        <f>F44*AF44</f>
        <v>0</v>
      </c>
      <c r="AO44" s="35" t="s">
        <v>264</v>
      </c>
      <c r="AP44" s="35" t="s">
        <v>274</v>
      </c>
      <c r="AQ44" s="26" t="s">
        <v>278</v>
      </c>
    </row>
    <row r="45" spans="1:37" ht="12.75">
      <c r="A45" s="5"/>
      <c r="B45" s="13"/>
      <c r="C45" s="13" t="s">
        <v>21</v>
      </c>
      <c r="D45" s="93" t="s">
        <v>176</v>
      </c>
      <c r="E45" s="94"/>
      <c r="F45" s="94"/>
      <c r="G45" s="94"/>
      <c r="H45" s="37">
        <f>SUM(H46:H46)</f>
        <v>0</v>
      </c>
      <c r="I45" s="37">
        <f>SUM(I46:I46)</f>
        <v>0</v>
      </c>
      <c r="J45" s="37">
        <f>H45+I45</f>
        <v>0</v>
      </c>
      <c r="K45" s="26"/>
      <c r="L45" s="37">
        <f>SUM(L46:L46)</f>
        <v>0</v>
      </c>
      <c r="M45" s="26"/>
      <c r="P45" s="37">
        <f>IF(Q45="PR",J45,SUM(O46:O46))</f>
        <v>0</v>
      </c>
      <c r="Q45" s="26" t="s">
        <v>252</v>
      </c>
      <c r="R45" s="37">
        <f>IF(Q45="HS",H45,0)</f>
        <v>0</v>
      </c>
      <c r="S45" s="37">
        <f>IF(Q45="HS",I45-P45,0)</f>
        <v>0</v>
      </c>
      <c r="T45" s="37">
        <f>IF(Q45="PS",H45,0)</f>
        <v>0</v>
      </c>
      <c r="U45" s="37">
        <f>IF(Q45="PS",I45-P45,0)</f>
        <v>0</v>
      </c>
      <c r="V45" s="37">
        <f>IF(Q45="MP",H45,0)</f>
        <v>0</v>
      </c>
      <c r="W45" s="37">
        <f>IF(Q45="MP",I45-P45,0)</f>
        <v>0</v>
      </c>
      <c r="X45" s="37">
        <f>IF(Q45="OM",H45,0)</f>
        <v>0</v>
      </c>
      <c r="Y45" s="26"/>
      <c r="AI45" s="37">
        <f>SUM(Z46:Z46)</f>
        <v>0</v>
      </c>
      <c r="AJ45" s="37">
        <f>SUM(AA46:AA46)</f>
        <v>0</v>
      </c>
      <c r="AK45" s="37">
        <f>SUM(AB46:AB46)</f>
        <v>0</v>
      </c>
    </row>
    <row r="46" spans="1:43" ht="12.75">
      <c r="A46" s="4" t="s">
        <v>35</v>
      </c>
      <c r="B46" s="4"/>
      <c r="C46" s="4" t="s">
        <v>103</v>
      </c>
      <c r="D46" s="4" t="s">
        <v>177</v>
      </c>
      <c r="E46" s="4" t="s">
        <v>229</v>
      </c>
      <c r="F46" s="17">
        <v>671.8</v>
      </c>
      <c r="G46" s="17">
        <v>0</v>
      </c>
      <c r="H46" s="17">
        <f>ROUND(F46*AE46,2)</f>
        <v>0</v>
      </c>
      <c r="I46" s="17">
        <f>J46-H46</f>
        <v>0</v>
      </c>
      <c r="J46" s="17">
        <f>ROUND(F46*G46,2)</f>
        <v>0</v>
      </c>
      <c r="K46" s="17">
        <v>0</v>
      </c>
      <c r="L46" s="17">
        <f>F46*K46</f>
        <v>0</v>
      </c>
      <c r="M46" s="29" t="s">
        <v>248</v>
      </c>
      <c r="N46" s="29" t="s">
        <v>6</v>
      </c>
      <c r="O46" s="17">
        <f>IF(N46="5",I46,0)</f>
        <v>0</v>
      </c>
      <c r="Z46" s="17">
        <f>IF(AD46=0,J46,0)</f>
        <v>0</v>
      </c>
      <c r="AA46" s="17">
        <f>IF(AD46=15,J46,0)</f>
        <v>0</v>
      </c>
      <c r="AB46" s="17">
        <f>IF(AD46=21,J46,0)</f>
        <v>0</v>
      </c>
      <c r="AD46" s="34">
        <v>21</v>
      </c>
      <c r="AE46" s="34">
        <f>G46*0</f>
        <v>0</v>
      </c>
      <c r="AF46" s="34">
        <f>G46*(1-0)</f>
        <v>0</v>
      </c>
      <c r="AM46" s="34">
        <f>F46*AE46</f>
        <v>0</v>
      </c>
      <c r="AN46" s="34">
        <f>F46*AF46</f>
        <v>0</v>
      </c>
      <c r="AO46" s="35" t="s">
        <v>265</v>
      </c>
      <c r="AP46" s="35" t="s">
        <v>274</v>
      </c>
      <c r="AQ46" s="26" t="s">
        <v>278</v>
      </c>
    </row>
    <row r="47" spans="1:37" ht="12.75">
      <c r="A47" s="5"/>
      <c r="B47" s="13"/>
      <c r="C47" s="13" t="s">
        <v>22</v>
      </c>
      <c r="D47" s="93" t="s">
        <v>178</v>
      </c>
      <c r="E47" s="94"/>
      <c r="F47" s="94"/>
      <c r="G47" s="94"/>
      <c r="H47" s="37">
        <f>SUM(H48:H49)</f>
        <v>0</v>
      </c>
      <c r="I47" s="37">
        <f>SUM(I48:I49)</f>
        <v>0</v>
      </c>
      <c r="J47" s="37">
        <f>H47+I47</f>
        <v>0</v>
      </c>
      <c r="K47" s="26"/>
      <c r="L47" s="37">
        <f>SUM(L48:L49)</f>
        <v>201.3</v>
      </c>
      <c r="M47" s="26"/>
      <c r="P47" s="37">
        <f>IF(Q47="PR",J47,SUM(O48:O49))</f>
        <v>0</v>
      </c>
      <c r="Q47" s="26" t="s">
        <v>252</v>
      </c>
      <c r="R47" s="37">
        <f>IF(Q47="HS",H47,0)</f>
        <v>0</v>
      </c>
      <c r="S47" s="37">
        <f>IF(Q47="HS",I47-P47,0)</f>
        <v>0</v>
      </c>
      <c r="T47" s="37">
        <f>IF(Q47="PS",H47,0)</f>
        <v>0</v>
      </c>
      <c r="U47" s="37">
        <f>IF(Q47="PS",I47-P47,0)</f>
        <v>0</v>
      </c>
      <c r="V47" s="37">
        <f>IF(Q47="MP",H47,0)</f>
        <v>0</v>
      </c>
      <c r="W47" s="37">
        <f>IF(Q47="MP",I47-P47,0)</f>
        <v>0</v>
      </c>
      <c r="X47" s="37">
        <f>IF(Q47="OM",H47,0)</f>
        <v>0</v>
      </c>
      <c r="Y47" s="26"/>
      <c r="AI47" s="37">
        <f>SUM(Z48:Z49)</f>
        <v>0</v>
      </c>
      <c r="AJ47" s="37">
        <f>SUM(AA48:AA49)</f>
        <v>0</v>
      </c>
      <c r="AK47" s="37">
        <f>SUM(AB48:AB49)</f>
        <v>0</v>
      </c>
    </row>
    <row r="48" spans="1:43" ht="12.75">
      <c r="A48" s="4" t="s">
        <v>36</v>
      </c>
      <c r="B48" s="4"/>
      <c r="C48" s="4" t="s">
        <v>104</v>
      </c>
      <c r="D48" s="4" t="s">
        <v>179</v>
      </c>
      <c r="E48" s="4" t="s">
        <v>229</v>
      </c>
      <c r="F48" s="17">
        <v>112</v>
      </c>
      <c r="G48" s="17">
        <v>0</v>
      </c>
      <c r="H48" s="17">
        <f>ROUND(F48*AE48,2)</f>
        <v>0</v>
      </c>
      <c r="I48" s="17">
        <f>J48-H48</f>
        <v>0</v>
      </c>
      <c r="J48" s="17">
        <f>ROUND(F48*G48,2)</f>
        <v>0</v>
      </c>
      <c r="K48" s="17">
        <v>0</v>
      </c>
      <c r="L48" s="17">
        <f>F48*K48</f>
        <v>0</v>
      </c>
      <c r="M48" s="29" t="s">
        <v>248</v>
      </c>
      <c r="N48" s="29" t="s">
        <v>6</v>
      </c>
      <c r="O48" s="17">
        <f>IF(N48="5",I48,0)</f>
        <v>0</v>
      </c>
      <c r="Z48" s="17">
        <f>IF(AD48=0,J48,0)</f>
        <v>0</v>
      </c>
      <c r="AA48" s="17">
        <f>IF(AD48=15,J48,0)</f>
        <v>0</v>
      </c>
      <c r="AB48" s="17">
        <f>IF(AD48=21,J48,0)</f>
        <v>0</v>
      </c>
      <c r="AD48" s="34">
        <v>21</v>
      </c>
      <c r="AE48" s="34">
        <f>G48*0</f>
        <v>0</v>
      </c>
      <c r="AF48" s="34">
        <f>G48*(1-0)</f>
        <v>0</v>
      </c>
      <c r="AM48" s="34">
        <f>F48*AE48</f>
        <v>0</v>
      </c>
      <c r="AN48" s="34">
        <f>F48*AF48</f>
        <v>0</v>
      </c>
      <c r="AO48" s="35" t="s">
        <v>266</v>
      </c>
      <c r="AP48" s="35" t="s">
        <v>274</v>
      </c>
      <c r="AQ48" s="26" t="s">
        <v>278</v>
      </c>
    </row>
    <row r="49" spans="1:43" ht="12.75">
      <c r="A49" s="6" t="s">
        <v>37</v>
      </c>
      <c r="B49" s="6"/>
      <c r="C49" s="6" t="s">
        <v>105</v>
      </c>
      <c r="D49" s="6" t="s">
        <v>180</v>
      </c>
      <c r="E49" s="6" t="s">
        <v>230</v>
      </c>
      <c r="F49" s="18">
        <v>201.3</v>
      </c>
      <c r="G49" s="18">
        <v>0</v>
      </c>
      <c r="H49" s="18">
        <f>ROUND(F49*AE49,2)</f>
        <v>0</v>
      </c>
      <c r="I49" s="18">
        <f>J49-H49</f>
        <v>0</v>
      </c>
      <c r="J49" s="18">
        <f>ROUND(F49*G49,2)</f>
        <v>0</v>
      </c>
      <c r="K49" s="18">
        <v>1</v>
      </c>
      <c r="L49" s="18">
        <f>F49*K49</f>
        <v>201.3</v>
      </c>
      <c r="M49" s="30" t="s">
        <v>248</v>
      </c>
      <c r="N49" s="30" t="s">
        <v>73</v>
      </c>
      <c r="O49" s="18">
        <f>IF(N49="5",I49,0)</f>
        <v>0</v>
      </c>
      <c r="Z49" s="18">
        <f>IF(AD49=0,J49,0)</f>
        <v>0</v>
      </c>
      <c r="AA49" s="18">
        <f>IF(AD49=15,J49,0)</f>
        <v>0</v>
      </c>
      <c r="AB49" s="18">
        <f>IF(AD49=21,J49,0)</f>
        <v>0</v>
      </c>
      <c r="AD49" s="34">
        <v>21</v>
      </c>
      <c r="AE49" s="34">
        <f>G49*1</f>
        <v>0</v>
      </c>
      <c r="AF49" s="34">
        <f>G49*(1-1)</f>
        <v>0</v>
      </c>
      <c r="AM49" s="34">
        <f>F49*AE49</f>
        <v>0</v>
      </c>
      <c r="AN49" s="34">
        <f>F49*AF49</f>
        <v>0</v>
      </c>
      <c r="AO49" s="35" t="s">
        <v>266</v>
      </c>
      <c r="AP49" s="35" t="s">
        <v>274</v>
      </c>
      <c r="AQ49" s="26" t="s">
        <v>278</v>
      </c>
    </row>
    <row r="50" spans="1:37" ht="12.75">
      <c r="A50" s="5"/>
      <c r="B50" s="13"/>
      <c r="C50" s="13" t="s">
        <v>23</v>
      </c>
      <c r="D50" s="93" t="s">
        <v>181</v>
      </c>
      <c r="E50" s="94"/>
      <c r="F50" s="94"/>
      <c r="G50" s="94"/>
      <c r="H50" s="37">
        <f>SUM(H51:H53)</f>
        <v>0</v>
      </c>
      <c r="I50" s="37">
        <f>SUM(I51:I53)</f>
        <v>0</v>
      </c>
      <c r="J50" s="37">
        <f>H50+I50</f>
        <v>0</v>
      </c>
      <c r="K50" s="26"/>
      <c r="L50" s="37">
        <f>SUM(L51:L53)</f>
        <v>0</v>
      </c>
      <c r="M50" s="26"/>
      <c r="P50" s="37">
        <f>IF(Q50="PR",J50,SUM(O51:O53))</f>
        <v>0</v>
      </c>
      <c r="Q50" s="26" t="s">
        <v>252</v>
      </c>
      <c r="R50" s="37">
        <f>IF(Q50="HS",H50,0)</f>
        <v>0</v>
      </c>
      <c r="S50" s="37">
        <f>IF(Q50="HS",I50-P50,0)</f>
        <v>0</v>
      </c>
      <c r="T50" s="37">
        <f>IF(Q50="PS",H50,0)</f>
        <v>0</v>
      </c>
      <c r="U50" s="37">
        <f>IF(Q50="PS",I50-P50,0)</f>
        <v>0</v>
      </c>
      <c r="V50" s="37">
        <f>IF(Q50="MP",H50,0)</f>
        <v>0</v>
      </c>
      <c r="W50" s="37">
        <f>IF(Q50="MP",I50-P50,0)</f>
        <v>0</v>
      </c>
      <c r="X50" s="37">
        <f>IF(Q50="OM",H50,0)</f>
        <v>0</v>
      </c>
      <c r="Y50" s="26"/>
      <c r="AI50" s="37">
        <f>SUM(Z51:Z53)</f>
        <v>0</v>
      </c>
      <c r="AJ50" s="37">
        <f>SUM(AA51:AA53)</f>
        <v>0</v>
      </c>
      <c r="AK50" s="37">
        <f>SUM(AB51:AB53)</f>
        <v>0</v>
      </c>
    </row>
    <row r="51" spans="1:43" ht="12.75">
      <c r="A51" s="4" t="s">
        <v>38</v>
      </c>
      <c r="B51" s="4"/>
      <c r="C51" s="4" t="s">
        <v>106</v>
      </c>
      <c r="D51" s="4" t="s">
        <v>182</v>
      </c>
      <c r="E51" s="4" t="s">
        <v>225</v>
      </c>
      <c r="F51" s="17">
        <v>2210.9</v>
      </c>
      <c r="G51" s="17">
        <v>0</v>
      </c>
      <c r="H51" s="17">
        <f>ROUND(F51*AE51,2)</f>
        <v>0</v>
      </c>
      <c r="I51" s="17">
        <f>J51-H51</f>
        <v>0</v>
      </c>
      <c r="J51" s="17">
        <f>ROUND(F51*G51,2)</f>
        <v>0</v>
      </c>
      <c r="K51" s="17">
        <v>0</v>
      </c>
      <c r="L51" s="17">
        <f>F51*K51</f>
        <v>0</v>
      </c>
      <c r="M51" s="29" t="s">
        <v>248</v>
      </c>
      <c r="N51" s="29" t="s">
        <v>6</v>
      </c>
      <c r="O51" s="17">
        <f>IF(N51="5",I51,0)</f>
        <v>0</v>
      </c>
      <c r="Z51" s="17">
        <f>IF(AD51=0,J51,0)</f>
        <v>0</v>
      </c>
      <c r="AA51" s="17">
        <f>IF(AD51=15,J51,0)</f>
        <v>0</v>
      </c>
      <c r="AB51" s="17">
        <f>IF(AD51=21,J51,0)</f>
        <v>0</v>
      </c>
      <c r="AD51" s="34">
        <v>21</v>
      </c>
      <c r="AE51" s="34">
        <f>G51*0</f>
        <v>0</v>
      </c>
      <c r="AF51" s="34">
        <f>G51*(1-0)</f>
        <v>0</v>
      </c>
      <c r="AM51" s="34">
        <f>F51*AE51</f>
        <v>0</v>
      </c>
      <c r="AN51" s="34">
        <f>F51*AF51</f>
        <v>0</v>
      </c>
      <c r="AO51" s="35" t="s">
        <v>267</v>
      </c>
      <c r="AP51" s="35" t="s">
        <v>274</v>
      </c>
      <c r="AQ51" s="26" t="s">
        <v>278</v>
      </c>
    </row>
    <row r="52" spans="1:43" ht="12.75">
      <c r="A52" s="4" t="s">
        <v>39</v>
      </c>
      <c r="B52" s="4"/>
      <c r="C52" s="4" t="s">
        <v>107</v>
      </c>
      <c r="D52" s="4" t="s">
        <v>183</v>
      </c>
      <c r="E52" s="4" t="s">
        <v>225</v>
      </c>
      <c r="F52" s="17">
        <v>916</v>
      </c>
      <c r="G52" s="17">
        <v>0</v>
      </c>
      <c r="H52" s="17">
        <f>ROUND(F52*AE52,2)</f>
        <v>0</v>
      </c>
      <c r="I52" s="17">
        <f>J52-H52</f>
        <v>0</v>
      </c>
      <c r="J52" s="17">
        <f>ROUND(F52*G52,2)</f>
        <v>0</v>
      </c>
      <c r="K52" s="17">
        <v>0</v>
      </c>
      <c r="L52" s="17">
        <f>F52*K52</f>
        <v>0</v>
      </c>
      <c r="M52" s="29" t="s">
        <v>248</v>
      </c>
      <c r="N52" s="29" t="s">
        <v>6</v>
      </c>
      <c r="O52" s="17">
        <f>IF(N52="5",I52,0)</f>
        <v>0</v>
      </c>
      <c r="Z52" s="17">
        <f>IF(AD52=0,J52,0)</f>
        <v>0</v>
      </c>
      <c r="AA52" s="17">
        <f>IF(AD52=15,J52,0)</f>
        <v>0</v>
      </c>
      <c r="AB52" s="17">
        <f>IF(AD52=21,J52,0)</f>
        <v>0</v>
      </c>
      <c r="AD52" s="34">
        <v>21</v>
      </c>
      <c r="AE52" s="34">
        <f>G52*0</f>
        <v>0</v>
      </c>
      <c r="AF52" s="34">
        <f>G52*(1-0)</f>
        <v>0</v>
      </c>
      <c r="AM52" s="34">
        <f>F52*AE52</f>
        <v>0</v>
      </c>
      <c r="AN52" s="34">
        <f>F52*AF52</f>
        <v>0</v>
      </c>
      <c r="AO52" s="35" t="s">
        <v>267</v>
      </c>
      <c r="AP52" s="35" t="s">
        <v>274</v>
      </c>
      <c r="AQ52" s="26" t="s">
        <v>278</v>
      </c>
    </row>
    <row r="53" spans="1:43" ht="12.75">
      <c r="A53" s="4" t="s">
        <v>40</v>
      </c>
      <c r="B53" s="4"/>
      <c r="C53" s="4" t="s">
        <v>108</v>
      </c>
      <c r="D53" s="4" t="s">
        <v>184</v>
      </c>
      <c r="E53" s="4" t="s">
        <v>225</v>
      </c>
      <c r="F53" s="17">
        <v>349</v>
      </c>
      <c r="G53" s="17">
        <v>0</v>
      </c>
      <c r="H53" s="17">
        <f>ROUND(F53*AE53,2)</f>
        <v>0</v>
      </c>
      <c r="I53" s="17">
        <f>J53-H53</f>
        <v>0</v>
      </c>
      <c r="J53" s="17">
        <f>ROUND(F53*G53,2)</f>
        <v>0</v>
      </c>
      <c r="K53" s="17">
        <v>0</v>
      </c>
      <c r="L53" s="17">
        <f>F53*K53</f>
        <v>0</v>
      </c>
      <c r="M53" s="29" t="s">
        <v>248</v>
      </c>
      <c r="N53" s="29" t="s">
        <v>6</v>
      </c>
      <c r="O53" s="17">
        <f>IF(N53="5",I53,0)</f>
        <v>0</v>
      </c>
      <c r="Z53" s="17">
        <f>IF(AD53=0,J53,0)</f>
        <v>0</v>
      </c>
      <c r="AA53" s="17">
        <f>IF(AD53=15,J53,0)</f>
        <v>0</v>
      </c>
      <c r="AB53" s="17">
        <f>IF(AD53=21,J53,0)</f>
        <v>0</v>
      </c>
      <c r="AD53" s="34">
        <v>21</v>
      </c>
      <c r="AE53" s="34">
        <f>G53*0</f>
        <v>0</v>
      </c>
      <c r="AF53" s="34">
        <f>G53*(1-0)</f>
        <v>0</v>
      </c>
      <c r="AM53" s="34">
        <f>F53*AE53</f>
        <v>0</v>
      </c>
      <c r="AN53" s="34">
        <f>F53*AF53</f>
        <v>0</v>
      </c>
      <c r="AO53" s="35" t="s">
        <v>267</v>
      </c>
      <c r="AP53" s="35" t="s">
        <v>274</v>
      </c>
      <c r="AQ53" s="26" t="s">
        <v>278</v>
      </c>
    </row>
    <row r="54" spans="1:37" ht="12.75">
      <c r="A54" s="5"/>
      <c r="B54" s="13"/>
      <c r="C54" s="13" t="s">
        <v>61</v>
      </c>
      <c r="D54" s="93" t="s">
        <v>185</v>
      </c>
      <c r="E54" s="94"/>
      <c r="F54" s="94"/>
      <c r="G54" s="94"/>
      <c r="H54" s="37">
        <f>SUM(H55:H61)</f>
        <v>0</v>
      </c>
      <c r="I54" s="37">
        <f>SUM(I55:I61)</f>
        <v>0</v>
      </c>
      <c r="J54" s="37">
        <f>H54+I54</f>
        <v>0</v>
      </c>
      <c r="K54" s="26"/>
      <c r="L54" s="37">
        <f>SUM(L55:L61)</f>
        <v>1561.1605359999999</v>
      </c>
      <c r="M54" s="26"/>
      <c r="P54" s="37">
        <f>IF(Q54="PR",J54,SUM(O55:O61))</f>
        <v>0</v>
      </c>
      <c r="Q54" s="26" t="s">
        <v>252</v>
      </c>
      <c r="R54" s="37">
        <f>IF(Q54="HS",H54,0)</f>
        <v>0</v>
      </c>
      <c r="S54" s="37">
        <f>IF(Q54="HS",I54-P54,0)</f>
        <v>0</v>
      </c>
      <c r="T54" s="37">
        <f>IF(Q54="PS",H54,0)</f>
        <v>0</v>
      </c>
      <c r="U54" s="37">
        <f>IF(Q54="PS",I54-P54,0)</f>
        <v>0</v>
      </c>
      <c r="V54" s="37">
        <f>IF(Q54="MP",H54,0)</f>
        <v>0</v>
      </c>
      <c r="W54" s="37">
        <f>IF(Q54="MP",I54-P54,0)</f>
        <v>0</v>
      </c>
      <c r="X54" s="37">
        <f>IF(Q54="OM",H54,0)</f>
        <v>0</v>
      </c>
      <c r="Y54" s="26"/>
      <c r="AI54" s="37">
        <f>SUM(Z55:Z61)</f>
        <v>0</v>
      </c>
      <c r="AJ54" s="37">
        <f>SUM(AA55:AA61)</f>
        <v>0</v>
      </c>
      <c r="AK54" s="37">
        <f>SUM(AB55:AB61)</f>
        <v>0</v>
      </c>
    </row>
    <row r="55" spans="1:43" ht="12.75">
      <c r="A55" s="4" t="s">
        <v>41</v>
      </c>
      <c r="B55" s="4"/>
      <c r="C55" s="4" t="s">
        <v>109</v>
      </c>
      <c r="D55" s="4" t="s">
        <v>186</v>
      </c>
      <c r="E55" s="4" t="s">
        <v>229</v>
      </c>
      <c r="F55" s="17">
        <v>118.4</v>
      </c>
      <c r="G55" s="17">
        <v>0</v>
      </c>
      <c r="H55" s="17">
        <f aca="true" t="shared" si="22" ref="H55:H61">ROUND(F55*AE55,2)</f>
        <v>0</v>
      </c>
      <c r="I55" s="17">
        <f aca="true" t="shared" si="23" ref="I55:I61">J55-H55</f>
        <v>0</v>
      </c>
      <c r="J55" s="17">
        <f aca="true" t="shared" si="24" ref="J55:J61">ROUND(F55*G55,2)</f>
        <v>0</v>
      </c>
      <c r="K55" s="17">
        <v>0</v>
      </c>
      <c r="L55" s="17">
        <f aca="true" t="shared" si="25" ref="L55:L61">F55*K55</f>
        <v>0</v>
      </c>
      <c r="M55" s="29" t="s">
        <v>248</v>
      </c>
      <c r="N55" s="29" t="s">
        <v>6</v>
      </c>
      <c r="O55" s="17">
        <f aca="true" t="shared" si="26" ref="O55:O61">IF(N55="5",I55,0)</f>
        <v>0</v>
      </c>
      <c r="Z55" s="17">
        <f aca="true" t="shared" si="27" ref="Z55:Z61">IF(AD55=0,J55,0)</f>
        <v>0</v>
      </c>
      <c r="AA55" s="17">
        <f aca="true" t="shared" si="28" ref="AA55:AA61">IF(AD55=15,J55,0)</f>
        <v>0</v>
      </c>
      <c r="AB55" s="17">
        <f aca="true" t="shared" si="29" ref="AB55:AB61">IF(AD55=21,J55,0)</f>
        <v>0</v>
      </c>
      <c r="AD55" s="34">
        <v>21</v>
      </c>
      <c r="AE55" s="34">
        <f>G55*0</f>
        <v>0</v>
      </c>
      <c r="AF55" s="34">
        <f>G55*(1-0)</f>
        <v>0</v>
      </c>
      <c r="AM55" s="34">
        <f aca="true" t="shared" si="30" ref="AM55:AM61">F55*AE55</f>
        <v>0</v>
      </c>
      <c r="AN55" s="34">
        <f aca="true" t="shared" si="31" ref="AN55:AN61">F55*AF55</f>
        <v>0</v>
      </c>
      <c r="AO55" s="35" t="s">
        <v>268</v>
      </c>
      <c r="AP55" s="35" t="s">
        <v>275</v>
      </c>
      <c r="AQ55" s="26" t="s">
        <v>278</v>
      </c>
    </row>
    <row r="56" spans="1:43" ht="12.75">
      <c r="A56" s="4" t="s">
        <v>42</v>
      </c>
      <c r="B56" s="4"/>
      <c r="C56" s="4" t="s">
        <v>110</v>
      </c>
      <c r="D56" s="4" t="s">
        <v>187</v>
      </c>
      <c r="E56" s="4" t="s">
        <v>225</v>
      </c>
      <c r="F56" s="17">
        <v>843</v>
      </c>
      <c r="G56" s="17">
        <v>0</v>
      </c>
      <c r="H56" s="17">
        <f t="shared" si="22"/>
        <v>0</v>
      </c>
      <c r="I56" s="17">
        <f t="shared" si="23"/>
        <v>0</v>
      </c>
      <c r="J56" s="17">
        <f t="shared" si="24"/>
        <v>0</v>
      </c>
      <c r="K56" s="17">
        <v>0.38314</v>
      </c>
      <c r="L56" s="17">
        <f t="shared" si="25"/>
        <v>322.98702</v>
      </c>
      <c r="M56" s="29" t="s">
        <v>248</v>
      </c>
      <c r="N56" s="29" t="s">
        <v>6</v>
      </c>
      <c r="O56" s="17">
        <f t="shared" si="26"/>
        <v>0</v>
      </c>
      <c r="Z56" s="17">
        <f t="shared" si="27"/>
        <v>0</v>
      </c>
      <c r="AA56" s="17">
        <f t="shared" si="28"/>
        <v>0</v>
      </c>
      <c r="AB56" s="17">
        <f t="shared" si="29"/>
        <v>0</v>
      </c>
      <c r="AD56" s="34">
        <v>21</v>
      </c>
      <c r="AE56" s="34">
        <f>G56*0.875802497957278</f>
        <v>0</v>
      </c>
      <c r="AF56" s="34">
        <f>G56*(1-0.875802497957278)</f>
        <v>0</v>
      </c>
      <c r="AM56" s="34">
        <f t="shared" si="30"/>
        <v>0</v>
      </c>
      <c r="AN56" s="34">
        <f t="shared" si="31"/>
        <v>0</v>
      </c>
      <c r="AO56" s="35" t="s">
        <v>268</v>
      </c>
      <c r="AP56" s="35" t="s">
        <v>275</v>
      </c>
      <c r="AQ56" s="26" t="s">
        <v>278</v>
      </c>
    </row>
    <row r="57" spans="1:43" ht="12.75">
      <c r="A57" s="4" t="s">
        <v>43</v>
      </c>
      <c r="B57" s="4"/>
      <c r="C57" s="4" t="s">
        <v>111</v>
      </c>
      <c r="D57" s="4" t="s">
        <v>188</v>
      </c>
      <c r="E57" s="4" t="s">
        <v>225</v>
      </c>
      <c r="F57" s="17">
        <v>1131.8</v>
      </c>
      <c r="G57" s="17">
        <v>0</v>
      </c>
      <c r="H57" s="17">
        <f t="shared" si="22"/>
        <v>0</v>
      </c>
      <c r="I57" s="17">
        <f t="shared" si="23"/>
        <v>0</v>
      </c>
      <c r="J57" s="17">
        <f t="shared" si="24"/>
        <v>0</v>
      </c>
      <c r="K57" s="17">
        <v>0.3708</v>
      </c>
      <c r="L57" s="17">
        <f t="shared" si="25"/>
        <v>419.67144</v>
      </c>
      <c r="M57" s="29" t="s">
        <v>248</v>
      </c>
      <c r="N57" s="29" t="s">
        <v>6</v>
      </c>
      <c r="O57" s="17">
        <f t="shared" si="26"/>
        <v>0</v>
      </c>
      <c r="Z57" s="17">
        <f t="shared" si="27"/>
        <v>0</v>
      </c>
      <c r="AA57" s="17">
        <f t="shared" si="28"/>
        <v>0</v>
      </c>
      <c r="AB57" s="17">
        <f t="shared" si="29"/>
        <v>0</v>
      </c>
      <c r="AD57" s="34">
        <v>21</v>
      </c>
      <c r="AE57" s="34">
        <f>G57*0.854901960784314</f>
        <v>0</v>
      </c>
      <c r="AF57" s="34">
        <f>G57*(1-0.854901960784314)</f>
        <v>0</v>
      </c>
      <c r="AM57" s="34">
        <f t="shared" si="30"/>
        <v>0</v>
      </c>
      <c r="AN57" s="34">
        <f t="shared" si="31"/>
        <v>0</v>
      </c>
      <c r="AO57" s="35" t="s">
        <v>268</v>
      </c>
      <c r="AP57" s="35" t="s">
        <v>275</v>
      </c>
      <c r="AQ57" s="26" t="s">
        <v>278</v>
      </c>
    </row>
    <row r="58" spans="1:43" ht="12.75">
      <c r="A58" s="4" t="s">
        <v>44</v>
      </c>
      <c r="B58" s="4"/>
      <c r="C58" s="4" t="s">
        <v>112</v>
      </c>
      <c r="D58" s="4" t="s">
        <v>189</v>
      </c>
      <c r="E58" s="4" t="s">
        <v>225</v>
      </c>
      <c r="F58" s="17">
        <v>1079.1</v>
      </c>
      <c r="G58" s="17">
        <v>0</v>
      </c>
      <c r="H58" s="17">
        <f t="shared" si="22"/>
        <v>0</v>
      </c>
      <c r="I58" s="17">
        <f t="shared" si="23"/>
        <v>0</v>
      </c>
      <c r="J58" s="17">
        <f t="shared" si="24"/>
        <v>0</v>
      </c>
      <c r="K58" s="17">
        <v>0.46166</v>
      </c>
      <c r="L58" s="17">
        <f t="shared" si="25"/>
        <v>498.177306</v>
      </c>
      <c r="M58" s="29" t="s">
        <v>248</v>
      </c>
      <c r="N58" s="29" t="s">
        <v>6</v>
      </c>
      <c r="O58" s="17">
        <f t="shared" si="26"/>
        <v>0</v>
      </c>
      <c r="Z58" s="17">
        <f t="shared" si="27"/>
        <v>0</v>
      </c>
      <c r="AA58" s="17">
        <f t="shared" si="28"/>
        <v>0</v>
      </c>
      <c r="AB58" s="17">
        <f t="shared" si="29"/>
        <v>0</v>
      </c>
      <c r="AD58" s="34">
        <v>21</v>
      </c>
      <c r="AE58" s="34">
        <f>G58*0.871853546910755</f>
        <v>0</v>
      </c>
      <c r="AF58" s="34">
        <f>G58*(1-0.871853546910755)</f>
        <v>0</v>
      </c>
      <c r="AM58" s="34">
        <f t="shared" si="30"/>
        <v>0</v>
      </c>
      <c r="AN58" s="34">
        <f t="shared" si="31"/>
        <v>0</v>
      </c>
      <c r="AO58" s="35" t="s">
        <v>268</v>
      </c>
      <c r="AP58" s="35" t="s">
        <v>275</v>
      </c>
      <c r="AQ58" s="26" t="s">
        <v>278</v>
      </c>
    </row>
    <row r="59" spans="1:43" ht="12.75">
      <c r="A59" s="4" t="s">
        <v>45</v>
      </c>
      <c r="B59" s="4"/>
      <c r="C59" s="4" t="s">
        <v>113</v>
      </c>
      <c r="D59" s="4" t="s">
        <v>190</v>
      </c>
      <c r="E59" s="4" t="s">
        <v>225</v>
      </c>
      <c r="F59" s="17">
        <v>947</v>
      </c>
      <c r="G59" s="17">
        <v>0</v>
      </c>
      <c r="H59" s="17">
        <f t="shared" si="22"/>
        <v>0</v>
      </c>
      <c r="I59" s="17">
        <f t="shared" si="23"/>
        <v>0</v>
      </c>
      <c r="J59" s="17">
        <f t="shared" si="24"/>
        <v>0</v>
      </c>
      <c r="K59" s="17">
        <v>0.18463</v>
      </c>
      <c r="L59" s="17">
        <f t="shared" si="25"/>
        <v>174.84461</v>
      </c>
      <c r="M59" s="29" t="s">
        <v>248</v>
      </c>
      <c r="N59" s="29" t="s">
        <v>6</v>
      </c>
      <c r="O59" s="17">
        <f t="shared" si="26"/>
        <v>0</v>
      </c>
      <c r="Z59" s="17">
        <f t="shared" si="27"/>
        <v>0</v>
      </c>
      <c r="AA59" s="17">
        <f t="shared" si="28"/>
        <v>0</v>
      </c>
      <c r="AB59" s="17">
        <f t="shared" si="29"/>
        <v>0</v>
      </c>
      <c r="AD59" s="34">
        <v>21</v>
      </c>
      <c r="AE59" s="34">
        <f>G59*0.814292343387471</f>
        <v>0</v>
      </c>
      <c r="AF59" s="34">
        <f>G59*(1-0.814292343387471)</f>
        <v>0</v>
      </c>
      <c r="AM59" s="34">
        <f t="shared" si="30"/>
        <v>0</v>
      </c>
      <c r="AN59" s="34">
        <f t="shared" si="31"/>
        <v>0</v>
      </c>
      <c r="AO59" s="35" t="s">
        <v>268</v>
      </c>
      <c r="AP59" s="35" t="s">
        <v>275</v>
      </c>
      <c r="AQ59" s="26" t="s">
        <v>278</v>
      </c>
    </row>
    <row r="60" spans="1:43" ht="38.25">
      <c r="A60" s="4" t="s">
        <v>46</v>
      </c>
      <c r="B60" s="4"/>
      <c r="C60" s="4" t="s">
        <v>114</v>
      </c>
      <c r="D60" s="70" t="s">
        <v>346</v>
      </c>
      <c r="E60" s="4" t="s">
        <v>225</v>
      </c>
      <c r="F60" s="17">
        <v>903</v>
      </c>
      <c r="G60" s="17">
        <v>0</v>
      </c>
      <c r="H60" s="17">
        <f t="shared" si="22"/>
        <v>0</v>
      </c>
      <c r="I60" s="17">
        <f t="shared" si="23"/>
        <v>0</v>
      </c>
      <c r="J60" s="17">
        <f t="shared" si="24"/>
        <v>0</v>
      </c>
      <c r="K60" s="17">
        <v>0.15</v>
      </c>
      <c r="L60" s="17">
        <f t="shared" si="25"/>
        <v>135.45</v>
      </c>
      <c r="M60" s="29" t="s">
        <v>248</v>
      </c>
      <c r="N60" s="29" t="s">
        <v>6</v>
      </c>
      <c r="O60" s="17">
        <f t="shared" si="26"/>
        <v>0</v>
      </c>
      <c r="Z60" s="17">
        <f t="shared" si="27"/>
        <v>0</v>
      </c>
      <c r="AA60" s="17">
        <f t="shared" si="28"/>
        <v>0</v>
      </c>
      <c r="AB60" s="17">
        <f t="shared" si="29"/>
        <v>0</v>
      </c>
      <c r="AD60" s="34">
        <v>21</v>
      </c>
      <c r="AE60" s="34">
        <f>G60*0.37358024691358</f>
        <v>0</v>
      </c>
      <c r="AF60" s="34">
        <f>G60*(1-0.37358024691358)</f>
        <v>0</v>
      </c>
      <c r="AM60" s="34">
        <f t="shared" si="30"/>
        <v>0</v>
      </c>
      <c r="AN60" s="34">
        <f t="shared" si="31"/>
        <v>0</v>
      </c>
      <c r="AO60" s="35" t="s">
        <v>268</v>
      </c>
      <c r="AP60" s="35" t="s">
        <v>275</v>
      </c>
      <c r="AQ60" s="26" t="s">
        <v>278</v>
      </c>
    </row>
    <row r="61" spans="1:43" ht="12.75">
      <c r="A61" s="4" t="s">
        <v>47</v>
      </c>
      <c r="B61" s="4"/>
      <c r="C61" s="4" t="s">
        <v>115</v>
      </c>
      <c r="D61" s="4" t="s">
        <v>192</v>
      </c>
      <c r="E61" s="4" t="s">
        <v>225</v>
      </c>
      <c r="F61" s="17">
        <v>14</v>
      </c>
      <c r="G61" s="17">
        <v>0</v>
      </c>
      <c r="H61" s="17">
        <f t="shared" si="22"/>
        <v>0</v>
      </c>
      <c r="I61" s="17">
        <f t="shared" si="23"/>
        <v>0</v>
      </c>
      <c r="J61" s="17">
        <f t="shared" si="24"/>
        <v>0</v>
      </c>
      <c r="K61" s="17">
        <v>0.71644</v>
      </c>
      <c r="L61" s="17">
        <f t="shared" si="25"/>
        <v>10.030159999999999</v>
      </c>
      <c r="M61" s="29" t="s">
        <v>248</v>
      </c>
      <c r="N61" s="29" t="s">
        <v>6</v>
      </c>
      <c r="O61" s="17">
        <f t="shared" si="26"/>
        <v>0</v>
      </c>
      <c r="Z61" s="17">
        <f t="shared" si="27"/>
        <v>0</v>
      </c>
      <c r="AA61" s="17">
        <f t="shared" si="28"/>
        <v>0</v>
      </c>
      <c r="AB61" s="17">
        <f t="shared" si="29"/>
        <v>0</v>
      </c>
      <c r="AD61" s="34">
        <v>21</v>
      </c>
      <c r="AE61" s="34">
        <f>G61*0.824193548387097</f>
        <v>0</v>
      </c>
      <c r="AF61" s="34">
        <f>G61*(1-0.824193548387097)</f>
        <v>0</v>
      </c>
      <c r="AM61" s="34">
        <f t="shared" si="30"/>
        <v>0</v>
      </c>
      <c r="AN61" s="34">
        <f t="shared" si="31"/>
        <v>0</v>
      </c>
      <c r="AO61" s="35" t="s">
        <v>268</v>
      </c>
      <c r="AP61" s="35" t="s">
        <v>275</v>
      </c>
      <c r="AQ61" s="26" t="s">
        <v>278</v>
      </c>
    </row>
    <row r="62" spans="1:37" ht="12.75">
      <c r="A62" s="5"/>
      <c r="B62" s="13"/>
      <c r="C62" s="13" t="s">
        <v>62</v>
      </c>
      <c r="D62" s="93" t="s">
        <v>193</v>
      </c>
      <c r="E62" s="94"/>
      <c r="F62" s="94"/>
      <c r="G62" s="94"/>
      <c r="H62" s="37">
        <f>SUM(H63:H68)</f>
        <v>0</v>
      </c>
      <c r="I62" s="37">
        <f>SUM(I63:I68)</f>
        <v>0</v>
      </c>
      <c r="J62" s="37">
        <f>H62+I62</f>
        <v>0</v>
      </c>
      <c r="K62" s="26"/>
      <c r="L62" s="37">
        <f>SUM(L63:L68)</f>
        <v>270.50606999999997</v>
      </c>
      <c r="M62" s="26"/>
      <c r="P62" s="37">
        <f>IF(Q62="PR",J62,SUM(O63:O68))</f>
        <v>0</v>
      </c>
      <c r="Q62" s="26" t="s">
        <v>252</v>
      </c>
      <c r="R62" s="37">
        <f>IF(Q62="HS",H62,0)</f>
        <v>0</v>
      </c>
      <c r="S62" s="37">
        <f>IF(Q62="HS",I62-P62,0)</f>
        <v>0</v>
      </c>
      <c r="T62" s="37">
        <f>IF(Q62="PS",H62,0)</f>
        <v>0</v>
      </c>
      <c r="U62" s="37">
        <f>IF(Q62="PS",I62-P62,0)</f>
        <v>0</v>
      </c>
      <c r="V62" s="37">
        <f>IF(Q62="MP",H62,0)</f>
        <v>0</v>
      </c>
      <c r="W62" s="37">
        <f>IF(Q62="MP",I62-P62,0)</f>
        <v>0</v>
      </c>
      <c r="X62" s="37">
        <f>IF(Q62="OM",H62,0)</f>
        <v>0</v>
      </c>
      <c r="Y62" s="26"/>
      <c r="AI62" s="37">
        <f>SUM(Z63:Z68)</f>
        <v>0</v>
      </c>
      <c r="AJ62" s="37">
        <f>SUM(AA63:AA68)</f>
        <v>0</v>
      </c>
      <c r="AK62" s="37">
        <f>SUM(AB63:AB68)</f>
        <v>0</v>
      </c>
    </row>
    <row r="63" spans="1:43" ht="12.75">
      <c r="A63" s="4" t="s">
        <v>48</v>
      </c>
      <c r="B63" s="4"/>
      <c r="C63" s="4" t="s">
        <v>116</v>
      </c>
      <c r="D63" s="4" t="s">
        <v>194</v>
      </c>
      <c r="E63" s="4" t="s">
        <v>225</v>
      </c>
      <c r="F63" s="17">
        <v>903</v>
      </c>
      <c r="G63" s="17">
        <v>0</v>
      </c>
      <c r="H63" s="17">
        <f aca="true" t="shared" si="32" ref="H63:H68">ROUND(F63*AE63,2)</f>
        <v>0</v>
      </c>
      <c r="I63" s="17">
        <f aca="true" t="shared" si="33" ref="I63:I68">J63-H63</f>
        <v>0</v>
      </c>
      <c r="J63" s="17">
        <f aca="true" t="shared" si="34" ref="J63:J68">ROUND(F63*G63,2)</f>
        <v>0</v>
      </c>
      <c r="K63" s="17">
        <v>0.00601</v>
      </c>
      <c r="L63" s="17">
        <f aca="true" t="shared" si="35" ref="L63:L68">F63*K63</f>
        <v>5.427029999999999</v>
      </c>
      <c r="M63" s="29" t="s">
        <v>248</v>
      </c>
      <c r="N63" s="29" t="s">
        <v>6</v>
      </c>
      <c r="O63" s="17">
        <f aca="true" t="shared" si="36" ref="O63:O68">IF(N63="5",I63,0)</f>
        <v>0</v>
      </c>
      <c r="Z63" s="17">
        <f aca="true" t="shared" si="37" ref="Z63:Z68">IF(AD63=0,J63,0)</f>
        <v>0</v>
      </c>
      <c r="AA63" s="17">
        <f aca="true" t="shared" si="38" ref="AA63:AA68">IF(AD63=15,J63,0)</f>
        <v>0</v>
      </c>
      <c r="AB63" s="17">
        <f aca="true" t="shared" si="39" ref="AB63:AB68">IF(AD63=21,J63,0)</f>
        <v>0</v>
      </c>
      <c r="AD63" s="34">
        <v>21</v>
      </c>
      <c r="AE63" s="34">
        <f>G63*0.913146333220683</f>
        <v>0</v>
      </c>
      <c r="AF63" s="34">
        <f>G63*(1-0.913146333220683)</f>
        <v>0</v>
      </c>
      <c r="AM63" s="34">
        <f aca="true" t="shared" si="40" ref="AM63:AM68">F63*AE63</f>
        <v>0</v>
      </c>
      <c r="AN63" s="34">
        <f aca="true" t="shared" si="41" ref="AN63:AN68">F63*AF63</f>
        <v>0</v>
      </c>
      <c r="AO63" s="35" t="s">
        <v>269</v>
      </c>
      <c r="AP63" s="35" t="s">
        <v>275</v>
      </c>
      <c r="AQ63" s="26" t="s">
        <v>278</v>
      </c>
    </row>
    <row r="64" spans="1:43" ht="12.75">
      <c r="A64" s="4" t="s">
        <v>49</v>
      </c>
      <c r="B64" s="4"/>
      <c r="C64" s="4" t="s">
        <v>117</v>
      </c>
      <c r="D64" s="4" t="s">
        <v>195</v>
      </c>
      <c r="E64" s="4" t="s">
        <v>225</v>
      </c>
      <c r="F64" s="17">
        <v>2797</v>
      </c>
      <c r="G64" s="17">
        <v>0</v>
      </c>
      <c r="H64" s="17">
        <f t="shared" si="32"/>
        <v>0</v>
      </c>
      <c r="I64" s="17">
        <f t="shared" si="33"/>
        <v>0</v>
      </c>
      <c r="J64" s="17">
        <f t="shared" si="34"/>
        <v>0</v>
      </c>
      <c r="K64" s="17">
        <v>0.00061</v>
      </c>
      <c r="L64" s="17">
        <f t="shared" si="35"/>
        <v>1.70617</v>
      </c>
      <c r="M64" s="29" t="s">
        <v>248</v>
      </c>
      <c r="N64" s="29" t="s">
        <v>6</v>
      </c>
      <c r="O64" s="17">
        <f t="shared" si="36"/>
        <v>0</v>
      </c>
      <c r="Z64" s="17">
        <f t="shared" si="37"/>
        <v>0</v>
      </c>
      <c r="AA64" s="17">
        <f t="shared" si="38"/>
        <v>0</v>
      </c>
      <c r="AB64" s="17">
        <f t="shared" si="39"/>
        <v>0</v>
      </c>
      <c r="AD64" s="34">
        <v>21</v>
      </c>
      <c r="AE64" s="34">
        <f>G64*0.939796716184519</f>
        <v>0</v>
      </c>
      <c r="AF64" s="34">
        <f>G64*(1-0.939796716184519)</f>
        <v>0</v>
      </c>
      <c r="AM64" s="34">
        <f t="shared" si="40"/>
        <v>0</v>
      </c>
      <c r="AN64" s="34">
        <f t="shared" si="41"/>
        <v>0</v>
      </c>
      <c r="AO64" s="35" t="s">
        <v>269</v>
      </c>
      <c r="AP64" s="35" t="s">
        <v>275</v>
      </c>
      <c r="AQ64" s="26" t="s">
        <v>278</v>
      </c>
    </row>
    <row r="65" spans="1:43" ht="12.75">
      <c r="A65" s="4" t="s">
        <v>50</v>
      </c>
      <c r="B65" s="4"/>
      <c r="C65" s="4" t="s">
        <v>118</v>
      </c>
      <c r="D65" s="4" t="s">
        <v>196</v>
      </c>
      <c r="E65" s="4" t="s">
        <v>225</v>
      </c>
      <c r="F65" s="17">
        <v>903</v>
      </c>
      <c r="G65" s="17">
        <v>0</v>
      </c>
      <c r="H65" s="17">
        <f t="shared" si="32"/>
        <v>0</v>
      </c>
      <c r="I65" s="17">
        <f t="shared" si="33"/>
        <v>0</v>
      </c>
      <c r="J65" s="17">
        <f t="shared" si="34"/>
        <v>0</v>
      </c>
      <c r="K65" s="17">
        <v>0.15559</v>
      </c>
      <c r="L65" s="17">
        <f t="shared" si="35"/>
        <v>140.49777</v>
      </c>
      <c r="M65" s="29" t="s">
        <v>248</v>
      </c>
      <c r="N65" s="29" t="s">
        <v>6</v>
      </c>
      <c r="O65" s="17">
        <f t="shared" si="36"/>
        <v>0</v>
      </c>
      <c r="Z65" s="17">
        <f t="shared" si="37"/>
        <v>0</v>
      </c>
      <c r="AA65" s="17">
        <f t="shared" si="38"/>
        <v>0</v>
      </c>
      <c r="AB65" s="17">
        <f t="shared" si="39"/>
        <v>0</v>
      </c>
      <c r="AD65" s="34">
        <v>21</v>
      </c>
      <c r="AE65" s="34">
        <f>G65*0.811520861372813</f>
        <v>0</v>
      </c>
      <c r="AF65" s="34">
        <f>G65*(1-0.811520861372813)</f>
        <v>0</v>
      </c>
      <c r="AM65" s="34">
        <f t="shared" si="40"/>
        <v>0</v>
      </c>
      <c r="AN65" s="34">
        <f t="shared" si="41"/>
        <v>0</v>
      </c>
      <c r="AO65" s="35" t="s">
        <v>269</v>
      </c>
      <c r="AP65" s="35" t="s">
        <v>275</v>
      </c>
      <c r="AQ65" s="26" t="s">
        <v>278</v>
      </c>
    </row>
    <row r="66" spans="1:43" ht="12.75">
      <c r="A66" s="4" t="s">
        <v>51</v>
      </c>
      <c r="B66" s="4"/>
      <c r="C66" s="4" t="s">
        <v>119</v>
      </c>
      <c r="D66" s="4" t="s">
        <v>197</v>
      </c>
      <c r="E66" s="4" t="s">
        <v>225</v>
      </c>
      <c r="F66" s="17">
        <v>947</v>
      </c>
      <c r="G66" s="17">
        <v>0</v>
      </c>
      <c r="H66" s="17">
        <f t="shared" si="32"/>
        <v>0</v>
      </c>
      <c r="I66" s="17">
        <f t="shared" si="33"/>
        <v>0</v>
      </c>
      <c r="J66" s="17">
        <f t="shared" si="34"/>
        <v>0</v>
      </c>
      <c r="K66" s="17">
        <v>0.12966</v>
      </c>
      <c r="L66" s="17">
        <f t="shared" si="35"/>
        <v>122.78802</v>
      </c>
      <c r="M66" s="29" t="s">
        <v>248</v>
      </c>
      <c r="N66" s="29" t="s">
        <v>6</v>
      </c>
      <c r="O66" s="17">
        <f t="shared" si="36"/>
        <v>0</v>
      </c>
      <c r="Z66" s="17">
        <f t="shared" si="37"/>
        <v>0</v>
      </c>
      <c r="AA66" s="17">
        <f t="shared" si="38"/>
        <v>0</v>
      </c>
      <c r="AB66" s="17">
        <f t="shared" si="39"/>
        <v>0</v>
      </c>
      <c r="AD66" s="34">
        <v>21</v>
      </c>
      <c r="AE66" s="34">
        <f>G66*0.811827338129496</f>
        <v>0</v>
      </c>
      <c r="AF66" s="34">
        <f>G66*(1-0.811827338129496)</f>
        <v>0</v>
      </c>
      <c r="AM66" s="34">
        <f t="shared" si="40"/>
        <v>0</v>
      </c>
      <c r="AN66" s="34">
        <f t="shared" si="41"/>
        <v>0</v>
      </c>
      <c r="AO66" s="35" t="s">
        <v>269</v>
      </c>
      <c r="AP66" s="35" t="s">
        <v>275</v>
      </c>
      <c r="AQ66" s="26" t="s">
        <v>278</v>
      </c>
    </row>
    <row r="67" spans="1:43" ht="12.75">
      <c r="A67" s="4" t="s">
        <v>52</v>
      </c>
      <c r="B67" s="4"/>
      <c r="C67" s="4" t="s">
        <v>117</v>
      </c>
      <c r="D67" s="4" t="s">
        <v>198</v>
      </c>
      <c r="E67" s="4" t="s">
        <v>225</v>
      </c>
      <c r="F67" s="17">
        <v>14</v>
      </c>
      <c r="G67" s="17">
        <v>0</v>
      </c>
      <c r="H67" s="17">
        <f t="shared" si="32"/>
        <v>0</v>
      </c>
      <c r="I67" s="17">
        <f t="shared" si="33"/>
        <v>0</v>
      </c>
      <c r="J67" s="17">
        <f t="shared" si="34"/>
        <v>0</v>
      </c>
      <c r="K67" s="17">
        <v>0.00061</v>
      </c>
      <c r="L67" s="17">
        <f t="shared" si="35"/>
        <v>0.008539999999999999</v>
      </c>
      <c r="M67" s="29" t="s">
        <v>248</v>
      </c>
      <c r="N67" s="29" t="s">
        <v>6</v>
      </c>
      <c r="O67" s="17">
        <f t="shared" si="36"/>
        <v>0</v>
      </c>
      <c r="Z67" s="17">
        <f t="shared" si="37"/>
        <v>0</v>
      </c>
      <c r="AA67" s="17">
        <f t="shared" si="38"/>
        <v>0</v>
      </c>
      <c r="AB67" s="17">
        <f t="shared" si="39"/>
        <v>0</v>
      </c>
      <c r="AD67" s="34">
        <v>21</v>
      </c>
      <c r="AE67" s="34">
        <f>G67*0.939796716184519</f>
        <v>0</v>
      </c>
      <c r="AF67" s="34">
        <f>G67*(1-0.939796716184519)</f>
        <v>0</v>
      </c>
      <c r="AM67" s="34">
        <f t="shared" si="40"/>
        <v>0</v>
      </c>
      <c r="AN67" s="34">
        <f t="shared" si="41"/>
        <v>0</v>
      </c>
      <c r="AO67" s="35" t="s">
        <v>269</v>
      </c>
      <c r="AP67" s="35" t="s">
        <v>275</v>
      </c>
      <c r="AQ67" s="26" t="s">
        <v>278</v>
      </c>
    </row>
    <row r="68" spans="1:43" ht="12.75">
      <c r="A68" s="4" t="s">
        <v>53</v>
      </c>
      <c r="B68" s="4"/>
      <c r="C68" s="4" t="s">
        <v>120</v>
      </c>
      <c r="D68" s="4" t="s">
        <v>199</v>
      </c>
      <c r="E68" s="4" t="s">
        <v>225</v>
      </c>
      <c r="F68" s="17">
        <v>14</v>
      </c>
      <c r="G68" s="17">
        <v>0</v>
      </c>
      <c r="H68" s="17">
        <f t="shared" si="32"/>
        <v>0</v>
      </c>
      <c r="I68" s="17">
        <f t="shared" si="33"/>
        <v>0</v>
      </c>
      <c r="J68" s="17">
        <f t="shared" si="34"/>
        <v>0</v>
      </c>
      <c r="K68" s="17">
        <v>0.00561</v>
      </c>
      <c r="L68" s="17">
        <f t="shared" si="35"/>
        <v>0.07854</v>
      </c>
      <c r="M68" s="29" t="s">
        <v>248</v>
      </c>
      <c r="N68" s="29" t="s">
        <v>6</v>
      </c>
      <c r="O68" s="17">
        <f t="shared" si="36"/>
        <v>0</v>
      </c>
      <c r="Z68" s="17">
        <f t="shared" si="37"/>
        <v>0</v>
      </c>
      <c r="AA68" s="17">
        <f t="shared" si="38"/>
        <v>0</v>
      </c>
      <c r="AB68" s="17">
        <f t="shared" si="39"/>
        <v>0</v>
      </c>
      <c r="AD68" s="34">
        <v>21</v>
      </c>
      <c r="AE68" s="34">
        <f>G68*0.868137506413546</f>
        <v>0</v>
      </c>
      <c r="AF68" s="34">
        <f>G68*(1-0.868137506413546)</f>
        <v>0</v>
      </c>
      <c r="AM68" s="34">
        <f t="shared" si="40"/>
        <v>0</v>
      </c>
      <c r="AN68" s="34">
        <f t="shared" si="41"/>
        <v>0</v>
      </c>
      <c r="AO68" s="35" t="s">
        <v>269</v>
      </c>
      <c r="AP68" s="35" t="s">
        <v>275</v>
      </c>
      <c r="AQ68" s="26" t="s">
        <v>278</v>
      </c>
    </row>
    <row r="69" spans="1:37" ht="12.75">
      <c r="A69" s="5"/>
      <c r="B69" s="13"/>
      <c r="C69" s="13" t="s">
        <v>64</v>
      </c>
      <c r="D69" s="93" t="s">
        <v>200</v>
      </c>
      <c r="E69" s="94"/>
      <c r="F69" s="94"/>
      <c r="G69" s="94"/>
      <c r="H69" s="37">
        <f>SUM(H70:H72)</f>
        <v>0</v>
      </c>
      <c r="I69" s="37">
        <f>SUM(I70:I72)</f>
        <v>0</v>
      </c>
      <c r="J69" s="37">
        <f>H69+I69</f>
        <v>0</v>
      </c>
      <c r="K69" s="26"/>
      <c r="L69" s="37">
        <f>SUM(L70:L72)</f>
        <v>36.61245</v>
      </c>
      <c r="M69" s="26"/>
      <c r="P69" s="37">
        <f>IF(Q69="PR",J69,SUM(O70:O72))</f>
        <v>0</v>
      </c>
      <c r="Q69" s="26" t="s">
        <v>252</v>
      </c>
      <c r="R69" s="37">
        <f>IF(Q69="HS",H69,0)</f>
        <v>0</v>
      </c>
      <c r="S69" s="37">
        <f>IF(Q69="HS",I69-P69,0)</f>
        <v>0</v>
      </c>
      <c r="T69" s="37">
        <f>IF(Q69="PS",H69,0)</f>
        <v>0</v>
      </c>
      <c r="U69" s="37">
        <f>IF(Q69="PS",I69-P69,0)</f>
        <v>0</v>
      </c>
      <c r="V69" s="37">
        <f>IF(Q69="MP",H69,0)</f>
        <v>0</v>
      </c>
      <c r="W69" s="37">
        <f>IF(Q69="MP",I69-P69,0)</f>
        <v>0</v>
      </c>
      <c r="X69" s="37">
        <f>IF(Q69="OM",H69,0)</f>
        <v>0</v>
      </c>
      <c r="Y69" s="26"/>
      <c r="AI69" s="37">
        <f>SUM(Z70:Z72)</f>
        <v>0</v>
      </c>
      <c r="AJ69" s="37">
        <f>SUM(AA70:AA72)</f>
        <v>0</v>
      </c>
      <c r="AK69" s="37">
        <f>SUM(AB70:AB72)</f>
        <v>0</v>
      </c>
    </row>
    <row r="70" spans="1:43" ht="12.75">
      <c r="A70" s="4" t="s">
        <v>54</v>
      </c>
      <c r="B70" s="4"/>
      <c r="C70" s="4" t="s">
        <v>121</v>
      </c>
      <c r="D70" s="4" t="s">
        <v>201</v>
      </c>
      <c r="E70" s="4" t="s">
        <v>225</v>
      </c>
      <c r="F70" s="17">
        <v>35</v>
      </c>
      <c r="G70" s="17">
        <v>0</v>
      </c>
      <c r="H70" s="17">
        <f>ROUND(F70*AE70,2)</f>
        <v>0</v>
      </c>
      <c r="I70" s="17">
        <f>J70-H70</f>
        <v>0</v>
      </c>
      <c r="J70" s="17">
        <f>ROUND(F70*G70,2)</f>
        <v>0</v>
      </c>
      <c r="K70" s="17">
        <v>0.54</v>
      </c>
      <c r="L70" s="17">
        <f>F70*K70</f>
        <v>18.900000000000002</v>
      </c>
      <c r="M70" s="29" t="s">
        <v>248</v>
      </c>
      <c r="N70" s="29" t="s">
        <v>6</v>
      </c>
      <c r="O70" s="17">
        <f>IF(N70="5",I70,0)</f>
        <v>0</v>
      </c>
      <c r="Z70" s="17">
        <f>IF(AD70=0,J70,0)</f>
        <v>0</v>
      </c>
      <c r="AA70" s="17">
        <f>IF(AD70=15,J70,0)</f>
        <v>0</v>
      </c>
      <c r="AB70" s="17">
        <f>IF(AD70=21,J70,0)</f>
        <v>0</v>
      </c>
      <c r="AD70" s="34">
        <v>21</v>
      </c>
      <c r="AE70" s="34">
        <f>G70*0.687030303030303</f>
        <v>0</v>
      </c>
      <c r="AF70" s="34">
        <f>G70*(1-0.687030303030303)</f>
        <v>0</v>
      </c>
      <c r="AM70" s="34">
        <f>F70*AE70</f>
        <v>0</v>
      </c>
      <c r="AN70" s="34">
        <f>F70*AF70</f>
        <v>0</v>
      </c>
      <c r="AO70" s="35" t="s">
        <v>270</v>
      </c>
      <c r="AP70" s="35" t="s">
        <v>275</v>
      </c>
      <c r="AQ70" s="26" t="s">
        <v>278</v>
      </c>
    </row>
    <row r="71" spans="1:43" ht="12.75">
      <c r="A71" s="6" t="s">
        <v>55</v>
      </c>
      <c r="B71" s="6"/>
      <c r="C71" s="6" t="s">
        <v>122</v>
      </c>
      <c r="D71" s="6" t="s">
        <v>202</v>
      </c>
      <c r="E71" s="6" t="s">
        <v>230</v>
      </c>
      <c r="F71" s="18">
        <v>12.6</v>
      </c>
      <c r="G71" s="18">
        <v>0</v>
      </c>
      <c r="H71" s="18">
        <f>ROUND(F71*AE71,2)</f>
        <v>0</v>
      </c>
      <c r="I71" s="18">
        <f>J71-H71</f>
        <v>0</v>
      </c>
      <c r="J71" s="18">
        <f>ROUND(F71*G71,2)</f>
        <v>0</v>
      </c>
      <c r="K71" s="18">
        <v>1</v>
      </c>
      <c r="L71" s="18">
        <f>F71*K71</f>
        <v>12.6</v>
      </c>
      <c r="M71" s="30" t="s">
        <v>248</v>
      </c>
      <c r="N71" s="30" t="s">
        <v>73</v>
      </c>
      <c r="O71" s="18">
        <f>IF(N71="5",I71,0)</f>
        <v>0</v>
      </c>
      <c r="Z71" s="18">
        <f>IF(AD71=0,J71,0)</f>
        <v>0</v>
      </c>
      <c r="AA71" s="18">
        <f>IF(AD71=15,J71,0)</f>
        <v>0</v>
      </c>
      <c r="AB71" s="18">
        <f>IF(AD71=21,J71,0)</f>
        <v>0</v>
      </c>
      <c r="AD71" s="34">
        <v>21</v>
      </c>
      <c r="AE71" s="34">
        <f>G71*1</f>
        <v>0</v>
      </c>
      <c r="AF71" s="34">
        <f>G71*(1-1)</f>
        <v>0</v>
      </c>
      <c r="AM71" s="34">
        <f>F71*AE71</f>
        <v>0</v>
      </c>
      <c r="AN71" s="34">
        <f>F71*AF71</f>
        <v>0</v>
      </c>
      <c r="AO71" s="35" t="s">
        <v>270</v>
      </c>
      <c r="AP71" s="35" t="s">
        <v>275</v>
      </c>
      <c r="AQ71" s="26" t="s">
        <v>278</v>
      </c>
    </row>
    <row r="72" spans="1:43" ht="12.75">
      <c r="A72" s="4" t="s">
        <v>56</v>
      </c>
      <c r="B72" s="4"/>
      <c r="C72" s="4" t="s">
        <v>123</v>
      </c>
      <c r="D72" s="4" t="s">
        <v>203</v>
      </c>
      <c r="E72" s="4" t="s">
        <v>225</v>
      </c>
      <c r="F72" s="17">
        <v>35</v>
      </c>
      <c r="G72" s="17">
        <v>0</v>
      </c>
      <c r="H72" s="17">
        <f>ROUND(F72*AE72,2)</f>
        <v>0</v>
      </c>
      <c r="I72" s="17">
        <f>J72-H72</f>
        <v>0</v>
      </c>
      <c r="J72" s="17">
        <f>ROUND(F72*G72,2)</f>
        <v>0</v>
      </c>
      <c r="K72" s="17">
        <v>0.14607</v>
      </c>
      <c r="L72" s="17">
        <f>F72*K72</f>
        <v>5.11245</v>
      </c>
      <c r="M72" s="29" t="s">
        <v>248</v>
      </c>
      <c r="N72" s="29" t="s">
        <v>6</v>
      </c>
      <c r="O72" s="17">
        <f>IF(N72="5",I72,0)</f>
        <v>0</v>
      </c>
      <c r="Z72" s="17">
        <f>IF(AD72=0,J72,0)</f>
        <v>0</v>
      </c>
      <c r="AA72" s="17">
        <f>IF(AD72=15,J72,0)</f>
        <v>0</v>
      </c>
      <c r="AB72" s="17">
        <f>IF(AD72=21,J72,0)</f>
        <v>0</v>
      </c>
      <c r="AD72" s="34">
        <v>21</v>
      </c>
      <c r="AE72" s="34">
        <f>G72*0.665180722891566</f>
        <v>0</v>
      </c>
      <c r="AF72" s="34">
        <f>G72*(1-0.665180722891566)</f>
        <v>0</v>
      </c>
      <c r="AM72" s="34">
        <f>F72*AE72</f>
        <v>0</v>
      </c>
      <c r="AN72" s="34">
        <f>F72*AF72</f>
        <v>0</v>
      </c>
      <c r="AO72" s="35" t="s">
        <v>270</v>
      </c>
      <c r="AP72" s="35" t="s">
        <v>275</v>
      </c>
      <c r="AQ72" s="26" t="s">
        <v>278</v>
      </c>
    </row>
    <row r="73" spans="1:37" ht="12.75">
      <c r="A73" s="5"/>
      <c r="B73" s="13"/>
      <c r="C73" s="13" t="s">
        <v>124</v>
      </c>
      <c r="D73" s="93" t="s">
        <v>204</v>
      </c>
      <c r="E73" s="94"/>
      <c r="F73" s="94"/>
      <c r="G73" s="94"/>
      <c r="H73" s="37">
        <f>SUM(H74:H74)</f>
        <v>0</v>
      </c>
      <c r="I73" s="37">
        <f>SUM(I74:I74)</f>
        <v>0</v>
      </c>
      <c r="J73" s="37">
        <f>H73+I73</f>
        <v>0</v>
      </c>
      <c r="K73" s="26"/>
      <c r="L73" s="37">
        <f>SUM(L74:L74)</f>
        <v>3.44752</v>
      </c>
      <c r="M73" s="26"/>
      <c r="P73" s="37">
        <f>IF(Q73="PR",J73,SUM(O74:O74))</f>
        <v>0</v>
      </c>
      <c r="Q73" s="26" t="s">
        <v>252</v>
      </c>
      <c r="R73" s="37">
        <f>IF(Q73="HS",H73,0)</f>
        <v>0</v>
      </c>
      <c r="S73" s="37">
        <f>IF(Q73="HS",I73-P73,0)</f>
        <v>0</v>
      </c>
      <c r="T73" s="37">
        <f>IF(Q73="PS",H73,0)</f>
        <v>0</v>
      </c>
      <c r="U73" s="37">
        <f>IF(Q73="PS",I73-P73,0)</f>
        <v>0</v>
      </c>
      <c r="V73" s="37">
        <f>IF(Q73="MP",H73,0)</f>
        <v>0</v>
      </c>
      <c r="W73" s="37">
        <f>IF(Q73="MP",I73-P73,0)</f>
        <v>0</v>
      </c>
      <c r="X73" s="37">
        <f>IF(Q73="OM",H73,0)</f>
        <v>0</v>
      </c>
      <c r="Y73" s="26"/>
      <c r="AI73" s="37">
        <f>SUM(Z74:Z74)</f>
        <v>0</v>
      </c>
      <c r="AJ73" s="37">
        <f>SUM(AA74:AA74)</f>
        <v>0</v>
      </c>
      <c r="AK73" s="37">
        <f>SUM(AB74:AB74)</f>
        <v>0</v>
      </c>
    </row>
    <row r="74" spans="1:43" ht="12.75">
      <c r="A74" s="4" t="s">
        <v>57</v>
      </c>
      <c r="B74" s="4"/>
      <c r="C74" s="4" t="s">
        <v>125</v>
      </c>
      <c r="D74" s="4" t="s">
        <v>205</v>
      </c>
      <c r="E74" s="4" t="s">
        <v>226</v>
      </c>
      <c r="F74" s="17">
        <v>8</v>
      </c>
      <c r="G74" s="17">
        <v>0</v>
      </c>
      <c r="H74" s="17">
        <f>ROUND(F74*AE74,2)</f>
        <v>0</v>
      </c>
      <c r="I74" s="17">
        <f>J74-H74</f>
        <v>0</v>
      </c>
      <c r="J74" s="17">
        <f>ROUND(F74*G74,2)</f>
        <v>0</v>
      </c>
      <c r="K74" s="17">
        <v>0.43094</v>
      </c>
      <c r="L74" s="17">
        <f>F74*K74</f>
        <v>3.44752</v>
      </c>
      <c r="M74" s="29" t="s">
        <v>248</v>
      </c>
      <c r="N74" s="29" t="s">
        <v>6</v>
      </c>
      <c r="O74" s="17">
        <f>IF(N74="5",I74,0)</f>
        <v>0</v>
      </c>
      <c r="Z74" s="17">
        <f>IF(AD74=0,J74,0)</f>
        <v>0</v>
      </c>
      <c r="AA74" s="17">
        <f>IF(AD74=15,J74,0)</f>
        <v>0</v>
      </c>
      <c r="AB74" s="17">
        <f>IF(AD74=21,J74,0)</f>
        <v>0</v>
      </c>
      <c r="AD74" s="34">
        <v>21</v>
      </c>
      <c r="AE74" s="34">
        <f>G74*0.421717869611565</f>
        <v>0</v>
      </c>
      <c r="AF74" s="34">
        <f>G74*(1-0.421717869611565)</f>
        <v>0</v>
      </c>
      <c r="AM74" s="34">
        <f>F74*AE74</f>
        <v>0</v>
      </c>
      <c r="AN74" s="34">
        <f>F74*AF74</f>
        <v>0</v>
      </c>
      <c r="AO74" s="35" t="s">
        <v>271</v>
      </c>
      <c r="AP74" s="35" t="s">
        <v>276</v>
      </c>
      <c r="AQ74" s="26" t="s">
        <v>278</v>
      </c>
    </row>
    <row r="75" spans="1:37" ht="12.75">
      <c r="A75" s="5"/>
      <c r="B75" s="13"/>
      <c r="C75" s="13" t="s">
        <v>126</v>
      </c>
      <c r="D75" s="93" t="s">
        <v>206</v>
      </c>
      <c r="E75" s="94"/>
      <c r="F75" s="94"/>
      <c r="G75" s="94"/>
      <c r="H75" s="37">
        <f>SUM(H76:H82)</f>
        <v>0</v>
      </c>
      <c r="I75" s="37">
        <f>SUM(I76:I82)</f>
        <v>0</v>
      </c>
      <c r="J75" s="37">
        <f>H75+I75</f>
        <v>0</v>
      </c>
      <c r="K75" s="26"/>
      <c r="L75" s="37">
        <f>SUM(L76:L82)</f>
        <v>204.897624</v>
      </c>
      <c r="M75" s="26"/>
      <c r="P75" s="37">
        <f>IF(Q75="PR",J75,SUM(O76:O82))</f>
        <v>0</v>
      </c>
      <c r="Q75" s="26" t="s">
        <v>252</v>
      </c>
      <c r="R75" s="37">
        <f>IF(Q75="HS",H75,0)</f>
        <v>0</v>
      </c>
      <c r="S75" s="37">
        <f>IF(Q75="HS",I75-P75,0)</f>
        <v>0</v>
      </c>
      <c r="T75" s="37">
        <f>IF(Q75="PS",H75,0)</f>
        <v>0</v>
      </c>
      <c r="U75" s="37">
        <f>IF(Q75="PS",I75-P75,0)</f>
        <v>0</v>
      </c>
      <c r="V75" s="37">
        <f>IF(Q75="MP",H75,0)</f>
        <v>0</v>
      </c>
      <c r="W75" s="37">
        <f>IF(Q75="MP",I75-P75,0)</f>
        <v>0</v>
      </c>
      <c r="X75" s="37">
        <f>IF(Q75="OM",H75,0)</f>
        <v>0</v>
      </c>
      <c r="Y75" s="26"/>
      <c r="AI75" s="37">
        <f>SUM(Z76:Z82)</f>
        <v>0</v>
      </c>
      <c r="AJ75" s="37">
        <f>SUM(AA76:AA82)</f>
        <v>0</v>
      </c>
      <c r="AK75" s="37">
        <f>SUM(AB76:AB82)</f>
        <v>0</v>
      </c>
    </row>
    <row r="76" spans="1:43" ht="12.75">
      <c r="A76" s="4" t="s">
        <v>58</v>
      </c>
      <c r="B76" s="4"/>
      <c r="C76" s="4" t="s">
        <v>127</v>
      </c>
      <c r="D76" s="4" t="s">
        <v>207</v>
      </c>
      <c r="E76" s="4" t="s">
        <v>227</v>
      </c>
      <c r="F76" s="17">
        <v>18</v>
      </c>
      <c r="G76" s="17">
        <v>0</v>
      </c>
      <c r="H76" s="17">
        <f aca="true" t="shared" si="42" ref="H76:H82">ROUND(F76*AE76,2)</f>
        <v>0</v>
      </c>
      <c r="I76" s="17">
        <f aca="true" t="shared" si="43" ref="I76:I82">J76-H76</f>
        <v>0</v>
      </c>
      <c r="J76" s="17">
        <f aca="true" t="shared" si="44" ref="J76:J82">ROUND(F76*G76,2)</f>
        <v>0</v>
      </c>
      <c r="K76" s="17">
        <v>0.17733</v>
      </c>
      <c r="L76" s="17">
        <f aca="true" t="shared" si="45" ref="L76:L82">F76*K76</f>
        <v>3.1919399999999998</v>
      </c>
      <c r="M76" s="29" t="s">
        <v>248</v>
      </c>
      <c r="N76" s="29" t="s">
        <v>6</v>
      </c>
      <c r="O76" s="17">
        <f aca="true" t="shared" si="46" ref="O76:O82">IF(N76="5",I76,0)</f>
        <v>0</v>
      </c>
      <c r="Z76" s="17">
        <f aca="true" t="shared" si="47" ref="Z76:Z82">IF(AD76=0,J76,0)</f>
        <v>0</v>
      </c>
      <c r="AA76" s="17">
        <f aca="true" t="shared" si="48" ref="AA76:AA82">IF(AD76=15,J76,0)</f>
        <v>0</v>
      </c>
      <c r="AB76" s="17">
        <f aca="true" t="shared" si="49" ref="AB76:AB82">IF(AD76=21,J76,0)</f>
        <v>0</v>
      </c>
      <c r="AD76" s="34">
        <v>21</v>
      </c>
      <c r="AE76" s="34">
        <f>G76*0.608354889772596</f>
        <v>0</v>
      </c>
      <c r="AF76" s="34">
        <f>G76*(1-0.608354889772596)</f>
        <v>0</v>
      </c>
      <c r="AM76" s="34">
        <f aca="true" t="shared" si="50" ref="AM76:AM82">F76*AE76</f>
        <v>0</v>
      </c>
      <c r="AN76" s="34">
        <f aca="true" t="shared" si="51" ref="AN76:AN82">F76*AF76</f>
        <v>0</v>
      </c>
      <c r="AO76" s="35" t="s">
        <v>272</v>
      </c>
      <c r="AP76" s="35" t="s">
        <v>277</v>
      </c>
      <c r="AQ76" s="26" t="s">
        <v>278</v>
      </c>
    </row>
    <row r="77" spans="1:43" ht="12.75">
      <c r="A77" s="6" t="s">
        <v>59</v>
      </c>
      <c r="B77" s="6"/>
      <c r="C77" s="6" t="s">
        <v>128</v>
      </c>
      <c r="D77" s="6" t="s">
        <v>208</v>
      </c>
      <c r="E77" s="6" t="s">
        <v>226</v>
      </c>
      <c r="F77" s="18">
        <v>19</v>
      </c>
      <c r="G77" s="18">
        <v>0</v>
      </c>
      <c r="H77" s="18">
        <f t="shared" si="42"/>
        <v>0</v>
      </c>
      <c r="I77" s="18">
        <f t="shared" si="43"/>
        <v>0</v>
      </c>
      <c r="J77" s="18">
        <f t="shared" si="44"/>
        <v>0</v>
      </c>
      <c r="K77" s="18">
        <v>0</v>
      </c>
      <c r="L77" s="18">
        <f t="shared" si="45"/>
        <v>0</v>
      </c>
      <c r="M77" s="30"/>
      <c r="N77" s="30" t="s">
        <v>73</v>
      </c>
      <c r="O77" s="18">
        <f t="shared" si="46"/>
        <v>0</v>
      </c>
      <c r="Z77" s="18">
        <f t="shared" si="47"/>
        <v>0</v>
      </c>
      <c r="AA77" s="18">
        <f t="shared" si="48"/>
        <v>0</v>
      </c>
      <c r="AB77" s="18">
        <f t="shared" si="49"/>
        <v>0</v>
      </c>
      <c r="AD77" s="34">
        <v>21</v>
      </c>
      <c r="AE77" s="34">
        <f>G77*1</f>
        <v>0</v>
      </c>
      <c r="AF77" s="34">
        <f>G77*(1-1)</f>
        <v>0</v>
      </c>
      <c r="AM77" s="34">
        <f t="shared" si="50"/>
        <v>0</v>
      </c>
      <c r="AN77" s="34">
        <f t="shared" si="51"/>
        <v>0</v>
      </c>
      <c r="AO77" s="35" t="s">
        <v>272</v>
      </c>
      <c r="AP77" s="35" t="s">
        <v>277</v>
      </c>
      <c r="AQ77" s="26" t="s">
        <v>278</v>
      </c>
    </row>
    <row r="78" spans="1:43" ht="12.75">
      <c r="A78" s="4" t="s">
        <v>60</v>
      </c>
      <c r="B78" s="4"/>
      <c r="C78" s="4" t="s">
        <v>129</v>
      </c>
      <c r="D78" s="4" t="s">
        <v>209</v>
      </c>
      <c r="E78" s="4" t="s">
        <v>227</v>
      </c>
      <c r="F78" s="17">
        <v>1204</v>
      </c>
      <c r="G78" s="17">
        <v>0</v>
      </c>
      <c r="H78" s="17">
        <f t="shared" si="42"/>
        <v>0</v>
      </c>
      <c r="I78" s="17">
        <f t="shared" si="43"/>
        <v>0</v>
      </c>
      <c r="J78" s="17">
        <f t="shared" si="44"/>
        <v>0</v>
      </c>
      <c r="K78" s="17">
        <v>0.10598</v>
      </c>
      <c r="L78" s="17">
        <f t="shared" si="45"/>
        <v>127.59992000000001</v>
      </c>
      <c r="M78" s="29" t="s">
        <v>248</v>
      </c>
      <c r="N78" s="29" t="s">
        <v>6</v>
      </c>
      <c r="O78" s="17">
        <f t="shared" si="46"/>
        <v>0</v>
      </c>
      <c r="Z78" s="17">
        <f t="shared" si="47"/>
        <v>0</v>
      </c>
      <c r="AA78" s="17">
        <f t="shared" si="48"/>
        <v>0</v>
      </c>
      <c r="AB78" s="17">
        <f t="shared" si="49"/>
        <v>0</v>
      </c>
      <c r="AD78" s="34">
        <v>21</v>
      </c>
      <c r="AE78" s="34">
        <f>G78*0.691658788451749</f>
        <v>0</v>
      </c>
      <c r="AF78" s="34">
        <f>G78*(1-0.691658788451749)</f>
        <v>0</v>
      </c>
      <c r="AM78" s="34">
        <f t="shared" si="50"/>
        <v>0</v>
      </c>
      <c r="AN78" s="34">
        <f t="shared" si="51"/>
        <v>0</v>
      </c>
      <c r="AO78" s="35" t="s">
        <v>272</v>
      </c>
      <c r="AP78" s="35" t="s">
        <v>277</v>
      </c>
      <c r="AQ78" s="26" t="s">
        <v>278</v>
      </c>
    </row>
    <row r="79" spans="1:43" ht="12.75">
      <c r="A79" s="6" t="s">
        <v>61</v>
      </c>
      <c r="B79" s="6"/>
      <c r="C79" s="6" t="s">
        <v>130</v>
      </c>
      <c r="D79" s="6" t="s">
        <v>210</v>
      </c>
      <c r="E79" s="6" t="s">
        <v>226</v>
      </c>
      <c r="F79" s="18">
        <v>1216</v>
      </c>
      <c r="G79" s="18">
        <v>0</v>
      </c>
      <c r="H79" s="18">
        <f t="shared" si="42"/>
        <v>0</v>
      </c>
      <c r="I79" s="18">
        <f t="shared" si="43"/>
        <v>0</v>
      </c>
      <c r="J79" s="18">
        <f t="shared" si="44"/>
        <v>0</v>
      </c>
      <c r="K79" s="18">
        <v>0.048</v>
      </c>
      <c r="L79" s="18">
        <f t="shared" si="45"/>
        <v>58.368</v>
      </c>
      <c r="M79" s="30" t="s">
        <v>248</v>
      </c>
      <c r="N79" s="30" t="s">
        <v>73</v>
      </c>
      <c r="O79" s="18">
        <f t="shared" si="46"/>
        <v>0</v>
      </c>
      <c r="Z79" s="18">
        <f t="shared" si="47"/>
        <v>0</v>
      </c>
      <c r="AA79" s="18">
        <f t="shared" si="48"/>
        <v>0</v>
      </c>
      <c r="AB79" s="18">
        <f t="shared" si="49"/>
        <v>0</v>
      </c>
      <c r="AD79" s="34">
        <v>21</v>
      </c>
      <c r="AE79" s="34">
        <f>G79*1</f>
        <v>0</v>
      </c>
      <c r="AF79" s="34">
        <f>G79*(1-1)</f>
        <v>0</v>
      </c>
      <c r="AM79" s="34">
        <f t="shared" si="50"/>
        <v>0</v>
      </c>
      <c r="AN79" s="34">
        <f t="shared" si="51"/>
        <v>0</v>
      </c>
      <c r="AO79" s="35" t="s">
        <v>272</v>
      </c>
      <c r="AP79" s="35" t="s">
        <v>277</v>
      </c>
      <c r="AQ79" s="26" t="s">
        <v>278</v>
      </c>
    </row>
    <row r="80" spans="1:43" ht="12.75">
      <c r="A80" s="4" t="s">
        <v>62</v>
      </c>
      <c r="B80" s="4"/>
      <c r="C80" s="4" t="s">
        <v>131</v>
      </c>
      <c r="D80" s="4" t="s">
        <v>211</v>
      </c>
      <c r="E80" s="4" t="s">
        <v>227</v>
      </c>
      <c r="F80" s="17">
        <v>17.7</v>
      </c>
      <c r="G80" s="17">
        <v>0</v>
      </c>
      <c r="H80" s="17">
        <f t="shared" si="42"/>
        <v>0</v>
      </c>
      <c r="I80" s="17">
        <f t="shared" si="43"/>
        <v>0</v>
      </c>
      <c r="J80" s="17">
        <f t="shared" si="44"/>
        <v>0</v>
      </c>
      <c r="K80" s="17">
        <v>2E-05</v>
      </c>
      <c r="L80" s="17">
        <f t="shared" si="45"/>
        <v>0.00035400000000000004</v>
      </c>
      <c r="M80" s="29" t="s">
        <v>248</v>
      </c>
      <c r="N80" s="29" t="s">
        <v>6</v>
      </c>
      <c r="O80" s="17">
        <f t="shared" si="46"/>
        <v>0</v>
      </c>
      <c r="Z80" s="17">
        <f t="shared" si="47"/>
        <v>0</v>
      </c>
      <c r="AA80" s="17">
        <f t="shared" si="48"/>
        <v>0</v>
      </c>
      <c r="AB80" s="17">
        <f t="shared" si="49"/>
        <v>0</v>
      </c>
      <c r="AD80" s="34">
        <v>21</v>
      </c>
      <c r="AE80" s="34">
        <f>G80*0.305931807566558</f>
        <v>0</v>
      </c>
      <c r="AF80" s="34">
        <f>G80*(1-0.305931807566558)</f>
        <v>0</v>
      </c>
      <c r="AM80" s="34">
        <f t="shared" si="50"/>
        <v>0</v>
      </c>
      <c r="AN80" s="34">
        <f t="shared" si="51"/>
        <v>0</v>
      </c>
      <c r="AO80" s="35" t="s">
        <v>272</v>
      </c>
      <c r="AP80" s="35" t="s">
        <v>277</v>
      </c>
      <c r="AQ80" s="26" t="s">
        <v>278</v>
      </c>
    </row>
    <row r="81" spans="1:43" ht="12.75">
      <c r="A81" s="4" t="s">
        <v>63</v>
      </c>
      <c r="B81" s="4"/>
      <c r="C81" s="4" t="s">
        <v>132</v>
      </c>
      <c r="D81" s="4" t="s">
        <v>212</v>
      </c>
      <c r="E81" s="4" t="s">
        <v>227</v>
      </c>
      <c r="F81" s="17">
        <v>17.7</v>
      </c>
      <c r="G81" s="17">
        <v>0</v>
      </c>
      <c r="H81" s="17">
        <f t="shared" si="42"/>
        <v>0</v>
      </c>
      <c r="I81" s="17">
        <f t="shared" si="43"/>
        <v>0</v>
      </c>
      <c r="J81" s="17">
        <f t="shared" si="44"/>
        <v>0</v>
      </c>
      <c r="K81" s="17">
        <v>0</v>
      </c>
      <c r="L81" s="17">
        <f t="shared" si="45"/>
        <v>0</v>
      </c>
      <c r="M81" s="29" t="s">
        <v>248</v>
      </c>
      <c r="N81" s="29" t="s">
        <v>6</v>
      </c>
      <c r="O81" s="17">
        <f t="shared" si="46"/>
        <v>0</v>
      </c>
      <c r="Z81" s="17">
        <f t="shared" si="47"/>
        <v>0</v>
      </c>
      <c r="AA81" s="17">
        <f t="shared" si="48"/>
        <v>0</v>
      </c>
      <c r="AB81" s="17">
        <f t="shared" si="49"/>
        <v>0</v>
      </c>
      <c r="AD81" s="34">
        <v>21</v>
      </c>
      <c r="AE81" s="34">
        <f>G81*0.628056872037915</f>
        <v>0</v>
      </c>
      <c r="AF81" s="34">
        <f>G81*(1-0.628056872037915)</f>
        <v>0</v>
      </c>
      <c r="AM81" s="34">
        <f t="shared" si="50"/>
        <v>0</v>
      </c>
      <c r="AN81" s="34">
        <f t="shared" si="51"/>
        <v>0</v>
      </c>
      <c r="AO81" s="35" t="s">
        <v>272</v>
      </c>
      <c r="AP81" s="35" t="s">
        <v>277</v>
      </c>
      <c r="AQ81" s="26" t="s">
        <v>278</v>
      </c>
    </row>
    <row r="82" spans="1:43" ht="12.75">
      <c r="A82" s="4" t="s">
        <v>64</v>
      </c>
      <c r="B82" s="4"/>
      <c r="C82" s="4" t="s">
        <v>133</v>
      </c>
      <c r="D82" s="4" t="s">
        <v>213</v>
      </c>
      <c r="E82" s="4" t="s">
        <v>226</v>
      </c>
      <c r="F82" s="17">
        <v>1</v>
      </c>
      <c r="G82" s="17">
        <v>0</v>
      </c>
      <c r="H82" s="17">
        <f t="shared" si="42"/>
        <v>0</v>
      </c>
      <c r="I82" s="17">
        <f t="shared" si="43"/>
        <v>0</v>
      </c>
      <c r="J82" s="17">
        <f t="shared" si="44"/>
        <v>0</v>
      </c>
      <c r="K82" s="17">
        <v>15.73741</v>
      </c>
      <c r="L82" s="17">
        <f t="shared" si="45"/>
        <v>15.73741</v>
      </c>
      <c r="M82" s="29" t="s">
        <v>248</v>
      </c>
      <c r="N82" s="29" t="s">
        <v>6</v>
      </c>
      <c r="O82" s="17">
        <f t="shared" si="46"/>
        <v>0</v>
      </c>
      <c r="Z82" s="17">
        <f t="shared" si="47"/>
        <v>0</v>
      </c>
      <c r="AA82" s="17">
        <f t="shared" si="48"/>
        <v>0</v>
      </c>
      <c r="AB82" s="17">
        <f t="shared" si="49"/>
        <v>0</v>
      </c>
      <c r="AD82" s="34">
        <v>21</v>
      </c>
      <c r="AE82" s="34">
        <f>G82*0.76106943038342</f>
        <v>0</v>
      </c>
      <c r="AF82" s="34">
        <f>G82*(1-0.76106943038342)</f>
        <v>0</v>
      </c>
      <c r="AM82" s="34">
        <f t="shared" si="50"/>
        <v>0</v>
      </c>
      <c r="AN82" s="34">
        <f t="shared" si="51"/>
        <v>0</v>
      </c>
      <c r="AO82" s="35" t="s">
        <v>272</v>
      </c>
      <c r="AP82" s="35" t="s">
        <v>277</v>
      </c>
      <c r="AQ82" s="26" t="s">
        <v>278</v>
      </c>
    </row>
    <row r="83" spans="1:37" ht="12.75">
      <c r="A83" s="5"/>
      <c r="B83" s="13"/>
      <c r="C83" s="13" t="s">
        <v>134</v>
      </c>
      <c r="D83" s="93" t="s">
        <v>214</v>
      </c>
      <c r="E83" s="94"/>
      <c r="F83" s="94"/>
      <c r="G83" s="94"/>
      <c r="H83" s="37">
        <f>SUM(H84:H88)</f>
        <v>0</v>
      </c>
      <c r="I83" s="37">
        <f>SUM(I84:I88)</f>
        <v>0</v>
      </c>
      <c r="J83" s="37">
        <f>H83+I83</f>
        <v>0</v>
      </c>
      <c r="K83" s="26"/>
      <c r="L83" s="37">
        <f>SUM(L84:L88)</f>
        <v>0</v>
      </c>
      <c r="M83" s="26"/>
      <c r="P83" s="37">
        <f>IF(Q83="PR",J83,SUM(O84:O88))</f>
        <v>0</v>
      </c>
      <c r="Q83" s="26" t="s">
        <v>253</v>
      </c>
      <c r="R83" s="37">
        <f>IF(Q83="HS",H83,0)</f>
        <v>0</v>
      </c>
      <c r="S83" s="37">
        <f>IF(Q83="HS",I83-P83,0)</f>
        <v>0</v>
      </c>
      <c r="T83" s="37">
        <f>IF(Q83="PS",H83,0)</f>
        <v>0</v>
      </c>
      <c r="U83" s="37">
        <f>IF(Q83="PS",I83-P83,0)</f>
        <v>0</v>
      </c>
      <c r="V83" s="37">
        <f>IF(Q83="MP",H83,0)</f>
        <v>0</v>
      </c>
      <c r="W83" s="37">
        <f>IF(Q83="MP",I83-P83,0)</f>
        <v>0</v>
      </c>
      <c r="X83" s="37">
        <f>IF(Q83="OM",H83,0)</f>
        <v>0</v>
      </c>
      <c r="Y83" s="26"/>
      <c r="AI83" s="37">
        <f>SUM(Z84:Z88)</f>
        <v>0</v>
      </c>
      <c r="AJ83" s="37">
        <f>SUM(AA84:AA88)</f>
        <v>0</v>
      </c>
      <c r="AK83" s="37">
        <f>SUM(AB84:AB88)</f>
        <v>0</v>
      </c>
    </row>
    <row r="84" spans="1:43" ht="12.75">
      <c r="A84" s="4" t="s">
        <v>65</v>
      </c>
      <c r="B84" s="4"/>
      <c r="C84" s="4" t="s">
        <v>135</v>
      </c>
      <c r="D84" s="4" t="s">
        <v>215</v>
      </c>
      <c r="E84" s="4" t="s">
        <v>228</v>
      </c>
      <c r="F84" s="17">
        <v>9</v>
      </c>
      <c r="G84" s="17">
        <v>0</v>
      </c>
      <c r="H84" s="17">
        <f>ROUND(F84*AE84,2)</f>
        <v>0</v>
      </c>
      <c r="I84" s="17">
        <f>J84-H84</f>
        <v>0</v>
      </c>
      <c r="J84" s="17">
        <f>ROUND(F84*G84,2)</f>
        <v>0</v>
      </c>
      <c r="K84" s="17">
        <v>0</v>
      </c>
      <c r="L84" s="17">
        <f>F84*K84</f>
        <v>0</v>
      </c>
      <c r="M84" s="29" t="s">
        <v>248</v>
      </c>
      <c r="N84" s="29" t="s">
        <v>10</v>
      </c>
      <c r="O84" s="17">
        <f>IF(N84="5",I84,0)</f>
        <v>0</v>
      </c>
      <c r="Z84" s="17">
        <f>IF(AD84=0,J84,0)</f>
        <v>0</v>
      </c>
      <c r="AA84" s="17">
        <f>IF(AD84=15,J84,0)</f>
        <v>0</v>
      </c>
      <c r="AB84" s="17">
        <f>IF(AD84=21,J84,0)</f>
        <v>0</v>
      </c>
      <c r="AD84" s="34">
        <v>21</v>
      </c>
      <c r="AE84" s="34">
        <f>G84*0</f>
        <v>0</v>
      </c>
      <c r="AF84" s="34">
        <f>G84*(1-0)</f>
        <v>0</v>
      </c>
      <c r="AM84" s="34">
        <f>F84*AE84</f>
        <v>0</v>
      </c>
      <c r="AN84" s="34">
        <f>F84*AF84</f>
        <v>0</v>
      </c>
      <c r="AO84" s="35" t="s">
        <v>273</v>
      </c>
      <c r="AP84" s="35" t="s">
        <v>277</v>
      </c>
      <c r="AQ84" s="26" t="s">
        <v>278</v>
      </c>
    </row>
    <row r="85" spans="1:43" ht="12.75">
      <c r="A85" s="4" t="s">
        <v>66</v>
      </c>
      <c r="B85" s="4"/>
      <c r="C85" s="4" t="s">
        <v>136</v>
      </c>
      <c r="D85" s="4" t="s">
        <v>216</v>
      </c>
      <c r="E85" s="4" t="s">
        <v>228</v>
      </c>
      <c r="F85" s="17">
        <v>36</v>
      </c>
      <c r="G85" s="17">
        <v>0</v>
      </c>
      <c r="H85" s="17">
        <f>ROUND(F85*AE85,2)</f>
        <v>0</v>
      </c>
      <c r="I85" s="17">
        <f>J85-H85</f>
        <v>0</v>
      </c>
      <c r="J85" s="17">
        <f>ROUND(F85*G85,2)</f>
        <v>0</v>
      </c>
      <c r="K85" s="17">
        <v>0</v>
      </c>
      <c r="L85" s="17">
        <f>F85*K85</f>
        <v>0</v>
      </c>
      <c r="M85" s="29" t="s">
        <v>248</v>
      </c>
      <c r="N85" s="29" t="s">
        <v>10</v>
      </c>
      <c r="O85" s="17">
        <f>IF(N85="5",I85,0)</f>
        <v>0</v>
      </c>
      <c r="Z85" s="17">
        <f>IF(AD85=0,J85,0)</f>
        <v>0</v>
      </c>
      <c r="AA85" s="17">
        <f>IF(AD85=15,J85,0)</f>
        <v>0</v>
      </c>
      <c r="AB85" s="17">
        <f>IF(AD85=21,J85,0)</f>
        <v>0</v>
      </c>
      <c r="AD85" s="34">
        <v>21</v>
      </c>
      <c r="AE85" s="34">
        <f>G85*0</f>
        <v>0</v>
      </c>
      <c r="AF85" s="34">
        <f>G85*(1-0)</f>
        <v>0</v>
      </c>
      <c r="AM85" s="34">
        <f>F85*AE85</f>
        <v>0</v>
      </c>
      <c r="AN85" s="34">
        <f>F85*AF85</f>
        <v>0</v>
      </c>
      <c r="AO85" s="35" t="s">
        <v>273</v>
      </c>
      <c r="AP85" s="35" t="s">
        <v>277</v>
      </c>
      <c r="AQ85" s="26" t="s">
        <v>278</v>
      </c>
    </row>
    <row r="86" spans="1:43" ht="12.75">
      <c r="A86" s="4" t="s">
        <v>67</v>
      </c>
      <c r="B86" s="4"/>
      <c r="C86" s="4" t="s">
        <v>135</v>
      </c>
      <c r="D86" s="4" t="s">
        <v>217</v>
      </c>
      <c r="E86" s="4" t="s">
        <v>228</v>
      </c>
      <c r="F86" s="17">
        <v>4.6</v>
      </c>
      <c r="G86" s="17">
        <v>0</v>
      </c>
      <c r="H86" s="17">
        <f>ROUND(F86*AE86,2)</f>
        <v>0</v>
      </c>
      <c r="I86" s="17">
        <f>J86-H86</f>
        <v>0</v>
      </c>
      <c r="J86" s="17">
        <f>ROUND(F86*G86,2)</f>
        <v>0</v>
      </c>
      <c r="K86" s="17">
        <v>0</v>
      </c>
      <c r="L86" s="17">
        <f>F86*K86</f>
        <v>0</v>
      </c>
      <c r="M86" s="29" t="s">
        <v>248</v>
      </c>
      <c r="N86" s="29" t="s">
        <v>10</v>
      </c>
      <c r="O86" s="17">
        <f>IF(N86="5",I86,0)</f>
        <v>0</v>
      </c>
      <c r="Z86" s="17">
        <f>IF(AD86=0,J86,0)</f>
        <v>0</v>
      </c>
      <c r="AA86" s="17">
        <f>IF(AD86=15,J86,0)</f>
        <v>0</v>
      </c>
      <c r="AB86" s="17">
        <f>IF(AD86=21,J86,0)</f>
        <v>0</v>
      </c>
      <c r="AD86" s="34">
        <v>21</v>
      </c>
      <c r="AE86" s="34">
        <f>G86*0</f>
        <v>0</v>
      </c>
      <c r="AF86" s="34">
        <f>G86*(1-0)</f>
        <v>0</v>
      </c>
      <c r="AM86" s="34">
        <f>F86*AE86</f>
        <v>0</v>
      </c>
      <c r="AN86" s="34">
        <f>F86*AF86</f>
        <v>0</v>
      </c>
      <c r="AO86" s="35" t="s">
        <v>273</v>
      </c>
      <c r="AP86" s="35" t="s">
        <v>277</v>
      </c>
      <c r="AQ86" s="26" t="s">
        <v>278</v>
      </c>
    </row>
    <row r="87" spans="1:43" ht="12.75">
      <c r="A87" s="4" t="s">
        <v>68</v>
      </c>
      <c r="B87" s="4"/>
      <c r="C87" s="4" t="s">
        <v>136</v>
      </c>
      <c r="D87" s="4" t="s">
        <v>218</v>
      </c>
      <c r="E87" s="4" t="s">
        <v>228</v>
      </c>
      <c r="F87" s="17">
        <v>18.4</v>
      </c>
      <c r="G87" s="17">
        <v>0</v>
      </c>
      <c r="H87" s="17">
        <f>ROUND(F87*AE87,2)</f>
        <v>0</v>
      </c>
      <c r="I87" s="17">
        <f>J87-H87</f>
        <v>0</v>
      </c>
      <c r="J87" s="17">
        <f>ROUND(F87*G87,2)</f>
        <v>0</v>
      </c>
      <c r="K87" s="17">
        <v>0</v>
      </c>
      <c r="L87" s="17">
        <f>F87*K87</f>
        <v>0</v>
      </c>
      <c r="M87" s="29" t="s">
        <v>248</v>
      </c>
      <c r="N87" s="29" t="s">
        <v>10</v>
      </c>
      <c r="O87" s="17">
        <f>IF(N87="5",I87,0)</f>
        <v>0</v>
      </c>
      <c r="Z87" s="17">
        <f>IF(AD87=0,J87,0)</f>
        <v>0</v>
      </c>
      <c r="AA87" s="17">
        <f>IF(AD87=15,J87,0)</f>
        <v>0</v>
      </c>
      <c r="AB87" s="17">
        <f>IF(AD87=21,J87,0)</f>
        <v>0</v>
      </c>
      <c r="AD87" s="34">
        <v>21</v>
      </c>
      <c r="AE87" s="34">
        <f>G87*0</f>
        <v>0</v>
      </c>
      <c r="AF87" s="34">
        <f>G87*(1-0)</f>
        <v>0</v>
      </c>
      <c r="AM87" s="34">
        <f>F87*AE87</f>
        <v>0</v>
      </c>
      <c r="AN87" s="34">
        <f>F87*AF87</f>
        <v>0</v>
      </c>
      <c r="AO87" s="35" t="s">
        <v>273</v>
      </c>
      <c r="AP87" s="35" t="s">
        <v>277</v>
      </c>
      <c r="AQ87" s="26" t="s">
        <v>278</v>
      </c>
    </row>
    <row r="88" spans="1:43" ht="12.75">
      <c r="A88" s="7" t="s">
        <v>69</v>
      </c>
      <c r="B88" s="7"/>
      <c r="C88" s="7" t="s">
        <v>137</v>
      </c>
      <c r="D88" s="7" t="s">
        <v>219</v>
      </c>
      <c r="E88" s="7" t="s">
        <v>228</v>
      </c>
      <c r="F88" s="19">
        <v>3682.38435</v>
      </c>
      <c r="G88" s="19">
        <v>0</v>
      </c>
      <c r="H88" s="19">
        <f>ROUND(F88*AE88,2)</f>
        <v>0</v>
      </c>
      <c r="I88" s="19">
        <f>J88-H88</f>
        <v>0</v>
      </c>
      <c r="J88" s="19">
        <f>ROUND(F88*G88,2)</f>
        <v>0</v>
      </c>
      <c r="K88" s="19">
        <v>0</v>
      </c>
      <c r="L88" s="19">
        <f>F88*K88</f>
        <v>0</v>
      </c>
      <c r="M88" s="31" t="s">
        <v>248</v>
      </c>
      <c r="N88" s="29" t="s">
        <v>10</v>
      </c>
      <c r="O88" s="17">
        <f>IF(N88="5",I88,0)</f>
        <v>0</v>
      </c>
      <c r="Z88" s="17">
        <f>IF(AD88=0,J88,0)</f>
        <v>0</v>
      </c>
      <c r="AA88" s="17">
        <f>IF(AD88=15,J88,0)</f>
        <v>0</v>
      </c>
      <c r="AB88" s="17">
        <f>IF(AD88=21,J88,0)</f>
        <v>0</v>
      </c>
      <c r="AD88" s="34">
        <v>21</v>
      </c>
      <c r="AE88" s="34">
        <f>G88*0</f>
        <v>0</v>
      </c>
      <c r="AF88" s="34">
        <f>G88*(1-0)</f>
        <v>0</v>
      </c>
      <c r="AM88" s="34">
        <f>F88*AE88</f>
        <v>0</v>
      </c>
      <c r="AN88" s="34">
        <f>F88*AF88</f>
        <v>0</v>
      </c>
      <c r="AO88" s="35" t="s">
        <v>273</v>
      </c>
      <c r="AP88" s="35" t="s">
        <v>277</v>
      </c>
      <c r="AQ88" s="26" t="s">
        <v>278</v>
      </c>
    </row>
    <row r="89" spans="1:28" ht="12.75">
      <c r="A89" s="8"/>
      <c r="B89" s="8"/>
      <c r="C89" s="8"/>
      <c r="D89" s="8"/>
      <c r="E89" s="8"/>
      <c r="F89" s="8"/>
      <c r="G89" s="8"/>
      <c r="H89" s="100" t="s">
        <v>237</v>
      </c>
      <c r="I89" s="101"/>
      <c r="J89" s="38">
        <f>J12+J31+J39+J42+J45+J47+J50+J54+J62+J69+J73+J75+J83</f>
        <v>0</v>
      </c>
      <c r="K89" s="8"/>
      <c r="L89" s="8"/>
      <c r="M89" s="8"/>
      <c r="Z89" s="39">
        <f>SUM(Z13:Z88)</f>
        <v>0</v>
      </c>
      <c r="AA89" s="39">
        <f>SUM(AA13:AA88)</f>
        <v>0</v>
      </c>
      <c r="AB89" s="39">
        <f>SUM(AB13:AB88)</f>
        <v>0</v>
      </c>
    </row>
    <row r="90" ht="11.25" customHeight="1">
      <c r="A90" s="9" t="s">
        <v>70</v>
      </c>
    </row>
    <row r="91" spans="1:13" ht="409.5" customHeight="1" hidden="1">
      <c r="A91" s="87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</row>
  </sheetData>
  <sheetProtection/>
  <mergeCells count="42">
    <mergeCell ref="D73:G73"/>
    <mergeCell ref="D75:G75"/>
    <mergeCell ref="D83:G83"/>
    <mergeCell ref="H89:I89"/>
    <mergeCell ref="A91:M91"/>
    <mergeCell ref="D45:G45"/>
    <mergeCell ref="D47:G47"/>
    <mergeCell ref="D50:G50"/>
    <mergeCell ref="D54:G54"/>
    <mergeCell ref="D62:G62"/>
    <mergeCell ref="D69:G69"/>
    <mergeCell ref="H10:J10"/>
    <mergeCell ref="K10:L10"/>
    <mergeCell ref="D12:G12"/>
    <mergeCell ref="D31:G31"/>
    <mergeCell ref="D39:G39"/>
    <mergeCell ref="D42:G42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A1" sqref="A1:F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74" t="s">
        <v>279</v>
      </c>
      <c r="B1" s="75"/>
      <c r="C1" s="75"/>
      <c r="D1" s="75"/>
      <c r="E1" s="75"/>
      <c r="F1" s="75"/>
      <c r="G1" s="47"/>
    </row>
    <row r="2" spans="1:8" ht="12.75">
      <c r="A2" s="76" t="s">
        <v>0</v>
      </c>
      <c r="B2" s="80" t="s">
        <v>138</v>
      </c>
      <c r="C2" s="101"/>
      <c r="D2" s="83" t="s">
        <v>238</v>
      </c>
      <c r="E2" s="83"/>
      <c r="F2" s="77"/>
      <c r="G2" s="84"/>
      <c r="H2" s="32"/>
    </row>
    <row r="3" spans="1:8" ht="12.75">
      <c r="A3" s="78"/>
      <c r="B3" s="81"/>
      <c r="C3" s="81"/>
      <c r="D3" s="79"/>
      <c r="E3" s="79"/>
      <c r="F3" s="79"/>
      <c r="G3" s="85"/>
      <c r="H3" s="32"/>
    </row>
    <row r="4" spans="1:8" ht="12.75">
      <c r="A4" s="86" t="s">
        <v>1</v>
      </c>
      <c r="B4" s="87" t="s">
        <v>139</v>
      </c>
      <c r="C4" s="79"/>
      <c r="D4" s="87" t="s">
        <v>239</v>
      </c>
      <c r="E4" s="87"/>
      <c r="F4" s="79"/>
      <c r="G4" s="85"/>
      <c r="H4" s="32"/>
    </row>
    <row r="5" spans="1:8" ht="12.75">
      <c r="A5" s="78"/>
      <c r="B5" s="79"/>
      <c r="C5" s="79"/>
      <c r="D5" s="79"/>
      <c r="E5" s="79"/>
      <c r="F5" s="79"/>
      <c r="G5" s="85"/>
      <c r="H5" s="32"/>
    </row>
    <row r="6" spans="1:8" ht="12.75">
      <c r="A6" s="86" t="s">
        <v>2</v>
      </c>
      <c r="B6" s="87" t="s">
        <v>140</v>
      </c>
      <c r="C6" s="79"/>
      <c r="D6" s="87" t="s">
        <v>240</v>
      </c>
      <c r="E6" s="87"/>
      <c r="F6" s="79"/>
      <c r="G6" s="85"/>
      <c r="H6" s="32"/>
    </row>
    <row r="7" spans="1:8" ht="12.75">
      <c r="A7" s="78"/>
      <c r="B7" s="79"/>
      <c r="C7" s="79"/>
      <c r="D7" s="79"/>
      <c r="E7" s="79"/>
      <c r="F7" s="79"/>
      <c r="G7" s="85"/>
      <c r="H7" s="32"/>
    </row>
    <row r="8" spans="1:8" ht="12.75">
      <c r="A8" s="86" t="s">
        <v>241</v>
      </c>
      <c r="B8" s="87" t="s">
        <v>243</v>
      </c>
      <c r="C8" s="79"/>
      <c r="D8" s="88" t="s">
        <v>223</v>
      </c>
      <c r="E8" s="89">
        <v>42794</v>
      </c>
      <c r="F8" s="79"/>
      <c r="G8" s="85"/>
      <c r="H8" s="32"/>
    </row>
    <row r="9" spans="1:8" ht="12.75">
      <c r="A9" s="90"/>
      <c r="B9" s="91"/>
      <c r="C9" s="91"/>
      <c r="D9" s="91"/>
      <c r="E9" s="91"/>
      <c r="F9" s="91"/>
      <c r="G9" s="92"/>
      <c r="H9" s="32"/>
    </row>
    <row r="10" spans="1:8" ht="12.75">
      <c r="A10" s="40" t="s">
        <v>71</v>
      </c>
      <c r="B10" s="42" t="s">
        <v>72</v>
      </c>
      <c r="C10" s="43" t="s">
        <v>141</v>
      </c>
      <c r="D10" s="44" t="s">
        <v>280</v>
      </c>
      <c r="E10" s="44" t="s">
        <v>281</v>
      </c>
      <c r="F10" s="44" t="s">
        <v>282</v>
      </c>
      <c r="G10" s="48" t="s">
        <v>283</v>
      </c>
      <c r="H10" s="33"/>
    </row>
    <row r="11" spans="1:9" ht="12.75">
      <c r="A11" s="41"/>
      <c r="B11" s="41" t="s">
        <v>73</v>
      </c>
      <c r="C11" s="41" t="s">
        <v>143</v>
      </c>
      <c r="D11" s="45"/>
      <c r="E11" s="45"/>
      <c r="F11" s="49">
        <f aca="true" t="shared" si="0" ref="F11:F23">D11+E11</f>
        <v>0</v>
      </c>
      <c r="G11" s="49">
        <v>1396.031</v>
      </c>
      <c r="H11" s="34" t="s">
        <v>284</v>
      </c>
      <c r="I11" s="34">
        <f aca="true" t="shared" si="1" ref="I11:I23">IF(H11="T",0,F11)</f>
        <v>0</v>
      </c>
    </row>
    <row r="12" spans="1:9" ht="12.75">
      <c r="A12" s="15"/>
      <c r="B12" s="15" t="s">
        <v>16</v>
      </c>
      <c r="C12" s="15" t="s">
        <v>162</v>
      </c>
      <c r="F12" s="34">
        <f t="shared" si="0"/>
        <v>0</v>
      </c>
      <c r="G12" s="34">
        <v>10.29915</v>
      </c>
      <c r="H12" s="34" t="s">
        <v>284</v>
      </c>
      <c r="I12" s="34">
        <f t="shared" si="1"/>
        <v>0</v>
      </c>
    </row>
    <row r="13" spans="1:9" ht="12.75">
      <c r="A13" s="15"/>
      <c r="B13" s="15" t="s">
        <v>17</v>
      </c>
      <c r="C13" s="15" t="s">
        <v>170</v>
      </c>
      <c r="F13" s="34">
        <f t="shared" si="0"/>
        <v>0</v>
      </c>
      <c r="G13" s="34">
        <v>0</v>
      </c>
      <c r="H13" s="34" t="s">
        <v>284</v>
      </c>
      <c r="I13" s="34">
        <f t="shared" si="1"/>
        <v>0</v>
      </c>
    </row>
    <row r="14" spans="1:9" ht="12.75">
      <c r="A14" s="15"/>
      <c r="B14" s="15" t="s">
        <v>18</v>
      </c>
      <c r="C14" s="15" t="s">
        <v>173</v>
      </c>
      <c r="F14" s="34">
        <f t="shared" si="0"/>
        <v>0</v>
      </c>
      <c r="G14" s="34">
        <v>0</v>
      </c>
      <c r="H14" s="34" t="s">
        <v>284</v>
      </c>
      <c r="I14" s="34">
        <f t="shared" si="1"/>
        <v>0</v>
      </c>
    </row>
    <row r="15" spans="1:9" ht="12.75">
      <c r="A15" s="15"/>
      <c r="B15" s="15" t="s">
        <v>21</v>
      </c>
      <c r="C15" s="15" t="s">
        <v>176</v>
      </c>
      <c r="F15" s="34">
        <f t="shared" si="0"/>
        <v>0</v>
      </c>
      <c r="G15" s="34">
        <v>0</v>
      </c>
      <c r="H15" s="34" t="s">
        <v>284</v>
      </c>
      <c r="I15" s="34">
        <f t="shared" si="1"/>
        <v>0</v>
      </c>
    </row>
    <row r="16" spans="1:9" ht="12.75">
      <c r="A16" s="15"/>
      <c r="B16" s="15" t="s">
        <v>22</v>
      </c>
      <c r="C16" s="15" t="s">
        <v>178</v>
      </c>
      <c r="F16" s="34">
        <f t="shared" si="0"/>
        <v>0</v>
      </c>
      <c r="G16" s="34">
        <v>201.3</v>
      </c>
      <c r="H16" s="34" t="s">
        <v>284</v>
      </c>
      <c r="I16" s="34">
        <f t="shared" si="1"/>
        <v>0</v>
      </c>
    </row>
    <row r="17" spans="1:9" ht="12.75">
      <c r="A17" s="15"/>
      <c r="B17" s="15" t="s">
        <v>23</v>
      </c>
      <c r="C17" s="15" t="s">
        <v>181</v>
      </c>
      <c r="F17" s="34">
        <f t="shared" si="0"/>
        <v>0</v>
      </c>
      <c r="G17" s="34">
        <v>0</v>
      </c>
      <c r="H17" s="34" t="s">
        <v>284</v>
      </c>
      <c r="I17" s="34">
        <f t="shared" si="1"/>
        <v>0</v>
      </c>
    </row>
    <row r="18" spans="1:9" ht="12.75">
      <c r="A18" s="15"/>
      <c r="B18" s="15" t="s">
        <v>61</v>
      </c>
      <c r="C18" s="15" t="s">
        <v>185</v>
      </c>
      <c r="F18" s="34">
        <f t="shared" si="0"/>
        <v>0</v>
      </c>
      <c r="G18" s="34">
        <v>1561.16054</v>
      </c>
      <c r="H18" s="34" t="s">
        <v>284</v>
      </c>
      <c r="I18" s="34">
        <f t="shared" si="1"/>
        <v>0</v>
      </c>
    </row>
    <row r="19" spans="1:9" ht="12.75">
      <c r="A19" s="15"/>
      <c r="B19" s="15" t="s">
        <v>62</v>
      </c>
      <c r="C19" s="15" t="s">
        <v>193</v>
      </c>
      <c r="F19" s="34">
        <f t="shared" si="0"/>
        <v>0</v>
      </c>
      <c r="G19" s="34">
        <v>270.50607</v>
      </c>
      <c r="H19" s="34" t="s">
        <v>284</v>
      </c>
      <c r="I19" s="34">
        <f t="shared" si="1"/>
        <v>0</v>
      </c>
    </row>
    <row r="20" spans="1:9" ht="12.75">
      <c r="A20" s="15"/>
      <c r="B20" s="15" t="s">
        <v>64</v>
      </c>
      <c r="C20" s="15" t="s">
        <v>200</v>
      </c>
      <c r="F20" s="34">
        <f t="shared" si="0"/>
        <v>0</v>
      </c>
      <c r="G20" s="34">
        <v>36.61245</v>
      </c>
      <c r="H20" s="34" t="s">
        <v>284</v>
      </c>
      <c r="I20" s="34">
        <f t="shared" si="1"/>
        <v>0</v>
      </c>
    </row>
    <row r="21" spans="1:9" ht="12.75">
      <c r="A21" s="15"/>
      <c r="B21" s="15" t="s">
        <v>124</v>
      </c>
      <c r="C21" s="15" t="s">
        <v>204</v>
      </c>
      <c r="F21" s="34">
        <f t="shared" si="0"/>
        <v>0</v>
      </c>
      <c r="G21" s="34">
        <v>3.44752</v>
      </c>
      <c r="H21" s="34" t="s">
        <v>284</v>
      </c>
      <c r="I21" s="34">
        <f t="shared" si="1"/>
        <v>0</v>
      </c>
    </row>
    <row r="22" spans="1:9" ht="12.75">
      <c r="A22" s="15"/>
      <c r="B22" s="15" t="s">
        <v>126</v>
      </c>
      <c r="C22" s="15" t="s">
        <v>206</v>
      </c>
      <c r="F22" s="34">
        <f t="shared" si="0"/>
        <v>0</v>
      </c>
      <c r="G22" s="34">
        <v>204.89762</v>
      </c>
      <c r="H22" s="34" t="s">
        <v>284</v>
      </c>
      <c r="I22" s="34">
        <f t="shared" si="1"/>
        <v>0</v>
      </c>
    </row>
    <row r="23" spans="1:9" ht="12.75">
      <c r="A23" s="15"/>
      <c r="B23" s="15" t="s">
        <v>134</v>
      </c>
      <c r="C23" s="15" t="s">
        <v>214</v>
      </c>
      <c r="F23" s="34">
        <f t="shared" si="0"/>
        <v>0</v>
      </c>
      <c r="G23" s="34">
        <v>0</v>
      </c>
      <c r="H23" s="34" t="s">
        <v>284</v>
      </c>
      <c r="I23" s="34">
        <f t="shared" si="1"/>
        <v>0</v>
      </c>
    </row>
    <row r="25" spans="5:6" ht="12.75">
      <c r="E25" s="46" t="s">
        <v>237</v>
      </c>
      <c r="F25" s="39">
        <f>SUM(I11:I23)</f>
        <v>0</v>
      </c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F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44.00390625" style="0" customWidth="1"/>
    <col min="5" max="5" width="14.57421875" style="0" customWidth="1"/>
    <col min="6" max="6" width="24.140625" style="0" customWidth="1"/>
    <col min="7" max="7" width="20.421875" style="0" customWidth="1"/>
    <col min="8" max="8" width="16.421875" style="0" customWidth="1"/>
  </cols>
  <sheetData>
    <row r="1" spans="1:8" ht="72.75" customHeight="1">
      <c r="A1" s="74" t="s">
        <v>285</v>
      </c>
      <c r="B1" s="75"/>
      <c r="C1" s="75"/>
      <c r="D1" s="75"/>
      <c r="E1" s="75"/>
      <c r="F1" s="75"/>
      <c r="G1" s="75"/>
      <c r="H1" s="75"/>
    </row>
    <row r="2" spans="1:9" ht="12.75">
      <c r="A2" s="76" t="s">
        <v>0</v>
      </c>
      <c r="B2" s="77"/>
      <c r="C2" s="80" t="s">
        <v>138</v>
      </c>
      <c r="D2" s="101"/>
      <c r="E2" s="83" t="s">
        <v>238</v>
      </c>
      <c r="F2" s="83"/>
      <c r="G2" s="77"/>
      <c r="H2" s="84"/>
      <c r="I2" s="32"/>
    </row>
    <row r="3" spans="1:9" ht="12.75">
      <c r="A3" s="78"/>
      <c r="B3" s="79"/>
      <c r="C3" s="81"/>
      <c r="D3" s="81"/>
      <c r="E3" s="79"/>
      <c r="F3" s="79"/>
      <c r="G3" s="79"/>
      <c r="H3" s="85"/>
      <c r="I3" s="32"/>
    </row>
    <row r="4" spans="1:9" ht="12.75">
      <c r="A4" s="86" t="s">
        <v>1</v>
      </c>
      <c r="B4" s="79"/>
      <c r="C4" s="87" t="s">
        <v>139</v>
      </c>
      <c r="D4" s="79"/>
      <c r="E4" s="87" t="s">
        <v>239</v>
      </c>
      <c r="F4" s="87"/>
      <c r="G4" s="79"/>
      <c r="H4" s="85"/>
      <c r="I4" s="32"/>
    </row>
    <row r="5" spans="1:9" ht="12.75">
      <c r="A5" s="78"/>
      <c r="B5" s="79"/>
      <c r="C5" s="79"/>
      <c r="D5" s="79"/>
      <c r="E5" s="79"/>
      <c r="F5" s="79"/>
      <c r="G5" s="79"/>
      <c r="H5" s="85"/>
      <c r="I5" s="32"/>
    </row>
    <row r="6" spans="1:9" ht="12.75">
      <c r="A6" s="86" t="s">
        <v>2</v>
      </c>
      <c r="B6" s="79"/>
      <c r="C6" s="87" t="s">
        <v>140</v>
      </c>
      <c r="D6" s="79"/>
      <c r="E6" s="87" t="s">
        <v>240</v>
      </c>
      <c r="F6" s="87"/>
      <c r="G6" s="79"/>
      <c r="H6" s="85"/>
      <c r="I6" s="32"/>
    </row>
    <row r="7" spans="1:9" ht="12.75">
      <c r="A7" s="78"/>
      <c r="B7" s="79"/>
      <c r="C7" s="79"/>
      <c r="D7" s="79"/>
      <c r="E7" s="79"/>
      <c r="F7" s="79"/>
      <c r="G7" s="79"/>
      <c r="H7" s="85"/>
      <c r="I7" s="32"/>
    </row>
    <row r="8" spans="1:9" ht="12.75">
      <c r="A8" s="86" t="s">
        <v>241</v>
      </c>
      <c r="B8" s="79"/>
      <c r="C8" s="87" t="s">
        <v>243</v>
      </c>
      <c r="D8" s="79"/>
      <c r="E8" s="88" t="s">
        <v>223</v>
      </c>
      <c r="F8" s="89">
        <v>42794</v>
      </c>
      <c r="G8" s="79"/>
      <c r="H8" s="85"/>
      <c r="I8" s="32"/>
    </row>
    <row r="9" spans="1:9" ht="12.75">
      <c r="A9" s="90"/>
      <c r="B9" s="91"/>
      <c r="C9" s="91"/>
      <c r="D9" s="91"/>
      <c r="E9" s="91"/>
      <c r="F9" s="91"/>
      <c r="G9" s="91"/>
      <c r="H9" s="92"/>
      <c r="I9" s="32"/>
    </row>
    <row r="10" spans="1:9" ht="12.75">
      <c r="A10" s="42" t="s">
        <v>4</v>
      </c>
      <c r="B10" s="43" t="s">
        <v>71</v>
      </c>
      <c r="C10" s="43" t="s">
        <v>72</v>
      </c>
      <c r="D10" s="43" t="s">
        <v>141</v>
      </c>
      <c r="E10" s="43" t="s">
        <v>224</v>
      </c>
      <c r="F10" s="43" t="s">
        <v>142</v>
      </c>
      <c r="G10" s="50" t="s">
        <v>231</v>
      </c>
      <c r="H10" s="40" t="s">
        <v>286</v>
      </c>
      <c r="I10" s="33"/>
    </row>
    <row r="11" spans="1:8" ht="12.75">
      <c r="A11" s="45"/>
      <c r="B11" s="45"/>
      <c r="C11" s="45"/>
      <c r="D11" s="45"/>
      <c r="E11" s="45"/>
      <c r="F11" s="45"/>
      <c r="G11" s="45"/>
      <c r="H11" s="45"/>
    </row>
  </sheetData>
  <sheetProtection/>
  <mergeCells count="17"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" width="16.421875" style="0" customWidth="1"/>
    <col min="2" max="2" width="48.7109375" style="0" customWidth="1"/>
    <col min="3" max="3" width="15.28125" style="0" customWidth="1"/>
    <col min="4" max="4" width="10.28125" style="0" customWidth="1"/>
    <col min="5" max="5" width="8.421875" style="0" customWidth="1"/>
    <col min="6" max="7" width="11.8515625" style="0" customWidth="1"/>
    <col min="8" max="8" width="19.8515625" style="0" customWidth="1"/>
  </cols>
  <sheetData>
    <row r="1" spans="1:8" ht="72.75" customHeight="1">
      <c r="A1" s="74" t="s">
        <v>287</v>
      </c>
      <c r="B1" s="75"/>
      <c r="C1" s="75"/>
      <c r="D1" s="75"/>
      <c r="E1" s="75"/>
      <c r="F1" s="75"/>
      <c r="G1" s="75"/>
      <c r="H1" s="75"/>
    </row>
    <row r="2" spans="1:9" ht="12.75">
      <c r="A2" s="76" t="s">
        <v>0</v>
      </c>
      <c r="B2" s="80" t="s">
        <v>138</v>
      </c>
      <c r="C2" s="82" t="s">
        <v>220</v>
      </c>
      <c r="D2" s="82" t="s">
        <v>232</v>
      </c>
      <c r="E2" s="77"/>
      <c r="F2" s="83" t="s">
        <v>238</v>
      </c>
      <c r="G2" s="83"/>
      <c r="H2" s="84"/>
      <c r="I2" s="32"/>
    </row>
    <row r="3" spans="1:9" ht="12.75">
      <c r="A3" s="78"/>
      <c r="B3" s="81"/>
      <c r="C3" s="79"/>
      <c r="D3" s="79"/>
      <c r="E3" s="79"/>
      <c r="F3" s="79"/>
      <c r="G3" s="79"/>
      <c r="H3" s="85"/>
      <c r="I3" s="32"/>
    </row>
    <row r="4" spans="1:9" ht="12.75">
      <c r="A4" s="86" t="s">
        <v>1</v>
      </c>
      <c r="B4" s="87" t="s">
        <v>139</v>
      </c>
      <c r="C4" s="88" t="s">
        <v>221</v>
      </c>
      <c r="D4" s="89">
        <v>42856</v>
      </c>
      <c r="E4" s="79"/>
      <c r="F4" s="87" t="s">
        <v>239</v>
      </c>
      <c r="G4" s="87"/>
      <c r="H4" s="85"/>
      <c r="I4" s="32"/>
    </row>
    <row r="5" spans="1:9" ht="12.75">
      <c r="A5" s="78"/>
      <c r="B5" s="79"/>
      <c r="C5" s="79"/>
      <c r="D5" s="79"/>
      <c r="E5" s="79"/>
      <c r="F5" s="79"/>
      <c r="G5" s="79"/>
      <c r="H5" s="85"/>
      <c r="I5" s="32"/>
    </row>
    <row r="6" spans="1:9" ht="12.75">
      <c r="A6" s="86" t="s">
        <v>2</v>
      </c>
      <c r="B6" s="87" t="s">
        <v>140</v>
      </c>
      <c r="C6" s="88" t="s">
        <v>222</v>
      </c>
      <c r="D6" s="89">
        <v>43434</v>
      </c>
      <c r="E6" s="79"/>
      <c r="F6" s="87" t="s">
        <v>240</v>
      </c>
      <c r="G6" s="87"/>
      <c r="H6" s="85"/>
      <c r="I6" s="32"/>
    </row>
    <row r="7" spans="1:9" ht="12.75">
      <c r="A7" s="78"/>
      <c r="B7" s="79"/>
      <c r="C7" s="79"/>
      <c r="D7" s="79"/>
      <c r="E7" s="79"/>
      <c r="F7" s="79"/>
      <c r="G7" s="79"/>
      <c r="H7" s="85"/>
      <c r="I7" s="32"/>
    </row>
    <row r="8" spans="1:9" ht="12.75">
      <c r="A8" s="86" t="s">
        <v>3</v>
      </c>
      <c r="B8" s="87">
        <v>8222972</v>
      </c>
      <c r="C8" s="88" t="s">
        <v>223</v>
      </c>
      <c r="D8" s="89">
        <v>42794</v>
      </c>
      <c r="E8" s="79"/>
      <c r="F8" s="87" t="s">
        <v>241</v>
      </c>
      <c r="G8" s="87" t="s">
        <v>243</v>
      </c>
      <c r="H8" s="85"/>
      <c r="I8" s="32"/>
    </row>
    <row r="9" spans="1:9" ht="12.75">
      <c r="A9" s="90"/>
      <c r="B9" s="91"/>
      <c r="C9" s="91"/>
      <c r="D9" s="91"/>
      <c r="E9" s="91"/>
      <c r="F9" s="91"/>
      <c r="G9" s="91"/>
      <c r="H9" s="92"/>
      <c r="I9" s="32"/>
    </row>
    <row r="10" spans="1:9" ht="12.75">
      <c r="A10" s="42" t="s">
        <v>72</v>
      </c>
      <c r="B10" s="43" t="s">
        <v>141</v>
      </c>
      <c r="C10" s="50" t="s">
        <v>288</v>
      </c>
      <c r="D10" s="50" t="s">
        <v>289</v>
      </c>
      <c r="E10" s="50" t="s">
        <v>290</v>
      </c>
      <c r="F10" s="50" t="s">
        <v>291</v>
      </c>
      <c r="G10" s="50" t="s">
        <v>292</v>
      </c>
      <c r="H10" s="51" t="s">
        <v>293</v>
      </c>
      <c r="I10" s="33"/>
    </row>
    <row r="11" spans="1:8" ht="12.75">
      <c r="A11" s="45"/>
      <c r="B11" s="45"/>
      <c r="C11" s="45"/>
      <c r="D11" s="45"/>
      <c r="E11" s="45"/>
      <c r="F11" s="45"/>
      <c r="G11" s="45"/>
      <c r="H11" s="45"/>
    </row>
  </sheetData>
  <sheetProtection/>
  <mergeCells count="25">
    <mergeCell ref="A8:A9"/>
    <mergeCell ref="B8:B9"/>
    <mergeCell ref="C8:C9"/>
    <mergeCell ref="D8:E9"/>
    <mergeCell ref="F8:F9"/>
    <mergeCell ref="G8:H9"/>
    <mergeCell ref="A6:A7"/>
    <mergeCell ref="B6:B7"/>
    <mergeCell ref="C6:C7"/>
    <mergeCell ref="D6:E7"/>
    <mergeCell ref="F6:F7"/>
    <mergeCell ref="G6:H7"/>
    <mergeCell ref="A4:A5"/>
    <mergeCell ref="B4:B5"/>
    <mergeCell ref="C4:C5"/>
    <mergeCell ref="D4:E5"/>
    <mergeCell ref="F4:F5"/>
    <mergeCell ref="G4:H5"/>
    <mergeCell ref="A1:H1"/>
    <mergeCell ref="A2:A3"/>
    <mergeCell ref="B2:B3"/>
    <mergeCell ref="C2:C3"/>
    <mergeCell ref="D2:E3"/>
    <mergeCell ref="F2:F3"/>
    <mergeCell ref="G2:H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" width="14.57421875" style="0" customWidth="1"/>
    <col min="2" max="2" width="10.421875" style="0" customWidth="1"/>
    <col min="3" max="3" width="14.57421875" style="0" customWidth="1"/>
    <col min="4" max="4" width="39.7109375" style="0" customWidth="1"/>
    <col min="5" max="5" width="16.140625" style="0" customWidth="1"/>
    <col min="6" max="6" width="23.28125" style="0" customWidth="1"/>
    <col min="7" max="7" width="21.28125" style="0" customWidth="1"/>
    <col min="8" max="8" width="19.57421875" style="0" customWidth="1"/>
    <col min="9" max="9" width="10.421875" style="0" customWidth="1"/>
  </cols>
  <sheetData>
    <row r="1" spans="1:9" ht="72.75" customHeight="1">
      <c r="A1" s="74" t="s">
        <v>294</v>
      </c>
      <c r="B1" s="75"/>
      <c r="C1" s="75"/>
      <c r="D1" s="75"/>
      <c r="E1" s="75"/>
      <c r="F1" s="75"/>
      <c r="G1" s="75"/>
      <c r="H1" s="75"/>
      <c r="I1" s="47"/>
    </row>
    <row r="2" spans="1:10" ht="12.75">
      <c r="A2" s="76" t="s">
        <v>0</v>
      </c>
      <c r="B2" s="80" t="s">
        <v>138</v>
      </c>
      <c r="C2" s="101"/>
      <c r="D2" s="101"/>
      <c r="E2" s="82" t="s">
        <v>220</v>
      </c>
      <c r="F2" s="82" t="s">
        <v>232</v>
      </c>
      <c r="G2" s="83" t="s">
        <v>238</v>
      </c>
      <c r="H2" s="83"/>
      <c r="I2" s="84"/>
      <c r="J2" s="32"/>
    </row>
    <row r="3" spans="1:10" ht="12.75">
      <c r="A3" s="78"/>
      <c r="B3" s="81"/>
      <c r="C3" s="81"/>
      <c r="D3" s="81"/>
      <c r="E3" s="79"/>
      <c r="F3" s="79"/>
      <c r="G3" s="79"/>
      <c r="H3" s="79"/>
      <c r="I3" s="85"/>
      <c r="J3" s="32"/>
    </row>
    <row r="4" spans="1:10" ht="12.75">
      <c r="A4" s="86" t="s">
        <v>1</v>
      </c>
      <c r="B4" s="87" t="s">
        <v>139</v>
      </c>
      <c r="C4" s="79"/>
      <c r="D4" s="79"/>
      <c r="E4" s="88" t="s">
        <v>221</v>
      </c>
      <c r="F4" s="89">
        <v>42856</v>
      </c>
      <c r="G4" s="87" t="s">
        <v>239</v>
      </c>
      <c r="H4" s="87"/>
      <c r="I4" s="85"/>
      <c r="J4" s="32"/>
    </row>
    <row r="5" spans="1:10" ht="12.75">
      <c r="A5" s="78"/>
      <c r="B5" s="79"/>
      <c r="C5" s="79"/>
      <c r="D5" s="79"/>
      <c r="E5" s="79"/>
      <c r="F5" s="79"/>
      <c r="G5" s="79"/>
      <c r="H5" s="79"/>
      <c r="I5" s="85"/>
      <c r="J5" s="32"/>
    </row>
    <row r="6" spans="1:10" ht="12.75">
      <c r="A6" s="86" t="s">
        <v>2</v>
      </c>
      <c r="B6" s="87" t="s">
        <v>140</v>
      </c>
      <c r="C6" s="79"/>
      <c r="D6" s="79"/>
      <c r="E6" s="88" t="s">
        <v>222</v>
      </c>
      <c r="F6" s="89">
        <v>43434</v>
      </c>
      <c r="G6" s="87" t="s">
        <v>240</v>
      </c>
      <c r="H6" s="87"/>
      <c r="I6" s="85"/>
      <c r="J6" s="32"/>
    </row>
    <row r="7" spans="1:10" ht="12.75">
      <c r="A7" s="78"/>
      <c r="B7" s="79"/>
      <c r="C7" s="79"/>
      <c r="D7" s="79"/>
      <c r="E7" s="79"/>
      <c r="F7" s="79"/>
      <c r="G7" s="79"/>
      <c r="H7" s="79"/>
      <c r="I7" s="85"/>
      <c r="J7" s="32"/>
    </row>
    <row r="8" spans="1:10" ht="12.75">
      <c r="A8" s="86" t="s">
        <v>3</v>
      </c>
      <c r="B8" s="87">
        <v>8222972</v>
      </c>
      <c r="C8" s="79"/>
      <c r="D8" s="79"/>
      <c r="E8" s="88" t="s">
        <v>223</v>
      </c>
      <c r="F8" s="89">
        <v>42794</v>
      </c>
      <c r="G8" s="87" t="s">
        <v>241</v>
      </c>
      <c r="H8" s="87" t="s">
        <v>243</v>
      </c>
      <c r="I8" s="85"/>
      <c r="J8" s="32"/>
    </row>
    <row r="9" spans="1:10" ht="12.75">
      <c r="A9" s="90"/>
      <c r="B9" s="91"/>
      <c r="C9" s="91"/>
      <c r="D9" s="91"/>
      <c r="E9" s="91"/>
      <c r="F9" s="91"/>
      <c r="G9" s="91"/>
      <c r="H9" s="91"/>
      <c r="I9" s="92"/>
      <c r="J9" s="32"/>
    </row>
    <row r="10" spans="1:10" ht="12.75">
      <c r="A10" s="52" t="s">
        <v>4</v>
      </c>
      <c r="B10" s="52" t="s">
        <v>71</v>
      </c>
      <c r="C10" s="42" t="s">
        <v>72</v>
      </c>
      <c r="D10" s="102" t="s">
        <v>141</v>
      </c>
      <c r="E10" s="103"/>
      <c r="F10" s="50" t="s">
        <v>295</v>
      </c>
      <c r="G10" s="50" t="s">
        <v>296</v>
      </c>
      <c r="H10" s="50" t="s">
        <v>297</v>
      </c>
      <c r="I10" s="51" t="s">
        <v>298</v>
      </c>
      <c r="J10" s="33"/>
    </row>
    <row r="11" spans="1:9" ht="12.75">
      <c r="A11" s="12"/>
      <c r="B11" s="12"/>
      <c r="C11" s="12" t="s">
        <v>73</v>
      </c>
      <c r="D11" s="98" t="s">
        <v>143</v>
      </c>
      <c r="E11" s="99"/>
      <c r="F11" s="36">
        <f>SUM(F12:F29)</f>
        <v>1331470</v>
      </c>
      <c r="G11" s="36">
        <f>SUM(G12:G29)</f>
        <v>0</v>
      </c>
      <c r="H11" s="36">
        <f aca="true" t="shared" si="0" ref="H11:H42">G11-F11</f>
        <v>-1331470</v>
      </c>
      <c r="I11" s="36">
        <f aca="true" t="shared" si="1" ref="I11:I42">H11/F11*100</f>
        <v>-100</v>
      </c>
    </row>
    <row r="12" spans="1:9" ht="12.75">
      <c r="A12" s="4" t="s">
        <v>6</v>
      </c>
      <c r="B12" s="4"/>
      <c r="C12" s="4" t="s">
        <v>74</v>
      </c>
      <c r="D12" s="104" t="s">
        <v>144</v>
      </c>
      <c r="E12" s="105"/>
      <c r="F12" s="17">
        <v>110545</v>
      </c>
      <c r="G12" s="17">
        <v>0</v>
      </c>
      <c r="H12" s="17">
        <f t="shared" si="0"/>
        <v>-110545</v>
      </c>
      <c r="I12" s="17">
        <f t="shared" si="1"/>
        <v>-100</v>
      </c>
    </row>
    <row r="13" spans="1:9" ht="12.75">
      <c r="A13" s="4" t="s">
        <v>7</v>
      </c>
      <c r="B13" s="4"/>
      <c r="C13" s="4" t="s">
        <v>75</v>
      </c>
      <c r="D13" s="104" t="s">
        <v>145</v>
      </c>
      <c r="E13" s="105"/>
      <c r="F13" s="17">
        <v>10500</v>
      </c>
      <c r="G13" s="17">
        <v>0</v>
      </c>
      <c r="H13" s="17">
        <f t="shared" si="0"/>
        <v>-10500</v>
      </c>
      <c r="I13" s="17">
        <f t="shared" si="1"/>
        <v>-100</v>
      </c>
    </row>
    <row r="14" spans="1:9" ht="12.75">
      <c r="A14" s="4" t="s">
        <v>8</v>
      </c>
      <c r="B14" s="4"/>
      <c r="C14" s="4" t="s">
        <v>76</v>
      </c>
      <c r="D14" s="104" t="s">
        <v>146</v>
      </c>
      <c r="E14" s="105"/>
      <c r="F14" s="17">
        <v>15000</v>
      </c>
      <c r="G14" s="17">
        <v>0</v>
      </c>
      <c r="H14" s="17">
        <f t="shared" si="0"/>
        <v>-15000</v>
      </c>
      <c r="I14" s="17">
        <f t="shared" si="1"/>
        <v>-100</v>
      </c>
    </row>
    <row r="15" spans="1:9" ht="12.75">
      <c r="A15" s="4" t="s">
        <v>9</v>
      </c>
      <c r="B15" s="4"/>
      <c r="C15" s="4" t="s">
        <v>77</v>
      </c>
      <c r="D15" s="104" t="s">
        <v>147</v>
      </c>
      <c r="E15" s="105"/>
      <c r="F15" s="17">
        <v>442180</v>
      </c>
      <c r="G15" s="17">
        <v>0</v>
      </c>
      <c r="H15" s="17">
        <f t="shared" si="0"/>
        <v>-442180</v>
      </c>
      <c r="I15" s="17">
        <f t="shared" si="1"/>
        <v>-100</v>
      </c>
    </row>
    <row r="16" spans="1:9" ht="12.75">
      <c r="A16" s="4" t="s">
        <v>10</v>
      </c>
      <c r="B16" s="4"/>
      <c r="C16" s="4" t="s">
        <v>78</v>
      </c>
      <c r="D16" s="104" t="s">
        <v>148</v>
      </c>
      <c r="E16" s="105"/>
      <c r="F16" s="17">
        <v>308725</v>
      </c>
      <c r="G16" s="17">
        <v>0</v>
      </c>
      <c r="H16" s="17">
        <f t="shared" si="0"/>
        <v>-308725</v>
      </c>
      <c r="I16" s="17">
        <f t="shared" si="1"/>
        <v>-100</v>
      </c>
    </row>
    <row r="17" spans="1:9" ht="12.75">
      <c r="A17" s="4" t="s">
        <v>11</v>
      </c>
      <c r="B17" s="4"/>
      <c r="C17" s="4" t="s">
        <v>79</v>
      </c>
      <c r="D17" s="104" t="s">
        <v>149</v>
      </c>
      <c r="E17" s="105"/>
      <c r="F17" s="17">
        <v>45800</v>
      </c>
      <c r="G17" s="17">
        <v>0</v>
      </c>
      <c r="H17" s="17">
        <f t="shared" si="0"/>
        <v>-45800</v>
      </c>
      <c r="I17" s="17">
        <f t="shared" si="1"/>
        <v>-100</v>
      </c>
    </row>
    <row r="18" spans="1:9" ht="12.75">
      <c r="A18" s="4" t="s">
        <v>12</v>
      </c>
      <c r="B18" s="4"/>
      <c r="C18" s="4" t="s">
        <v>80</v>
      </c>
      <c r="D18" s="104" t="s">
        <v>150</v>
      </c>
      <c r="E18" s="105"/>
      <c r="F18" s="17">
        <v>100000</v>
      </c>
      <c r="G18" s="17">
        <v>0</v>
      </c>
      <c r="H18" s="17">
        <f t="shared" si="0"/>
        <v>-100000</v>
      </c>
      <c r="I18" s="17">
        <f t="shared" si="1"/>
        <v>-100</v>
      </c>
    </row>
    <row r="19" spans="1:9" ht="12.75">
      <c r="A19" s="4" t="s">
        <v>13</v>
      </c>
      <c r="B19" s="4"/>
      <c r="C19" s="4" t="s">
        <v>81</v>
      </c>
      <c r="D19" s="104" t="s">
        <v>151</v>
      </c>
      <c r="E19" s="105"/>
      <c r="F19" s="17">
        <v>1840</v>
      </c>
      <c r="G19" s="17">
        <v>0</v>
      </c>
      <c r="H19" s="17">
        <f t="shared" si="0"/>
        <v>-1840</v>
      </c>
      <c r="I19" s="17">
        <f t="shared" si="1"/>
        <v>-100</v>
      </c>
    </row>
    <row r="20" spans="1:9" ht="12.75">
      <c r="A20" s="4" t="s">
        <v>14</v>
      </c>
      <c r="B20" s="4"/>
      <c r="C20" s="4" t="s">
        <v>82</v>
      </c>
      <c r="D20" s="104" t="s">
        <v>152</v>
      </c>
      <c r="E20" s="105"/>
      <c r="F20" s="17">
        <v>2880</v>
      </c>
      <c r="G20" s="17">
        <v>0</v>
      </c>
      <c r="H20" s="17">
        <f t="shared" si="0"/>
        <v>-2880</v>
      </c>
      <c r="I20" s="17">
        <f t="shared" si="1"/>
        <v>-100</v>
      </c>
    </row>
    <row r="21" spans="1:9" ht="12.75">
      <c r="A21" s="4" t="s">
        <v>15</v>
      </c>
      <c r="B21" s="4"/>
      <c r="C21" s="4" t="s">
        <v>83</v>
      </c>
      <c r="D21" s="104" t="s">
        <v>153</v>
      </c>
      <c r="E21" s="105"/>
      <c r="F21" s="17">
        <v>18500</v>
      </c>
      <c r="G21" s="17">
        <v>0</v>
      </c>
      <c r="H21" s="17">
        <f t="shared" si="0"/>
        <v>-18500</v>
      </c>
      <c r="I21" s="17">
        <f t="shared" si="1"/>
        <v>-100</v>
      </c>
    </row>
    <row r="22" spans="1:9" ht="12.75">
      <c r="A22" s="4" t="s">
        <v>16</v>
      </c>
      <c r="B22" s="4"/>
      <c r="C22" s="4" t="s">
        <v>84</v>
      </c>
      <c r="D22" s="104" t="s">
        <v>154</v>
      </c>
      <c r="E22" s="105"/>
      <c r="F22" s="17">
        <v>16000</v>
      </c>
      <c r="G22" s="17">
        <v>0</v>
      </c>
      <c r="H22" s="17">
        <f t="shared" si="0"/>
        <v>-16000</v>
      </c>
      <c r="I22" s="17">
        <f t="shared" si="1"/>
        <v>-100</v>
      </c>
    </row>
    <row r="23" spans="1:9" ht="12.75">
      <c r="A23" s="4" t="s">
        <v>17</v>
      </c>
      <c r="B23" s="4"/>
      <c r="C23" s="4" t="s">
        <v>85</v>
      </c>
      <c r="D23" s="104" t="s">
        <v>155</v>
      </c>
      <c r="E23" s="105"/>
      <c r="F23" s="17">
        <v>55000</v>
      </c>
      <c r="G23" s="17">
        <v>0</v>
      </c>
      <c r="H23" s="17">
        <f t="shared" si="0"/>
        <v>-55000</v>
      </c>
      <c r="I23" s="17">
        <f t="shared" si="1"/>
        <v>-100</v>
      </c>
    </row>
    <row r="24" spans="1:9" ht="12.75">
      <c r="A24" s="4" t="s">
        <v>18</v>
      </c>
      <c r="B24" s="4"/>
      <c r="C24" s="4" t="s">
        <v>86</v>
      </c>
      <c r="D24" s="104" t="s">
        <v>156</v>
      </c>
      <c r="E24" s="105"/>
      <c r="F24" s="17">
        <v>20500</v>
      </c>
      <c r="G24" s="17">
        <v>0</v>
      </c>
      <c r="H24" s="17">
        <f t="shared" si="0"/>
        <v>-20500</v>
      </c>
      <c r="I24" s="17">
        <f t="shared" si="1"/>
        <v>-100</v>
      </c>
    </row>
    <row r="25" spans="1:9" ht="12.75">
      <c r="A25" s="4" t="s">
        <v>19</v>
      </c>
      <c r="B25" s="4"/>
      <c r="C25" s="4" t="s">
        <v>87</v>
      </c>
      <c r="D25" s="104" t="s">
        <v>157</v>
      </c>
      <c r="E25" s="105"/>
      <c r="F25" s="17">
        <v>82000</v>
      </c>
      <c r="G25" s="17">
        <v>0</v>
      </c>
      <c r="H25" s="17">
        <f t="shared" si="0"/>
        <v>-82000</v>
      </c>
      <c r="I25" s="17">
        <f t="shared" si="1"/>
        <v>-100</v>
      </c>
    </row>
    <row r="26" spans="1:9" ht="12.75">
      <c r="A26" s="4" t="s">
        <v>20</v>
      </c>
      <c r="B26" s="4"/>
      <c r="C26" s="4" t="s">
        <v>88</v>
      </c>
      <c r="D26" s="104" t="s">
        <v>158</v>
      </c>
      <c r="E26" s="105"/>
      <c r="F26" s="17">
        <v>15000</v>
      </c>
      <c r="G26" s="17">
        <v>0</v>
      </c>
      <c r="H26" s="17">
        <f t="shared" si="0"/>
        <v>-15000</v>
      </c>
      <c r="I26" s="17">
        <f t="shared" si="1"/>
        <v>-100</v>
      </c>
    </row>
    <row r="27" spans="1:9" ht="12.75">
      <c r="A27" s="4" t="s">
        <v>21</v>
      </c>
      <c r="B27" s="4"/>
      <c r="C27" s="4" t="s">
        <v>89</v>
      </c>
      <c r="D27" s="104" t="s">
        <v>159</v>
      </c>
      <c r="E27" s="105"/>
      <c r="F27" s="17">
        <v>20000</v>
      </c>
      <c r="G27" s="17">
        <v>0</v>
      </c>
      <c r="H27" s="17">
        <f t="shared" si="0"/>
        <v>-20000</v>
      </c>
      <c r="I27" s="17">
        <f t="shared" si="1"/>
        <v>-100</v>
      </c>
    </row>
    <row r="28" spans="1:9" ht="12.75">
      <c r="A28" s="4" t="s">
        <v>22</v>
      </c>
      <c r="B28" s="4"/>
      <c r="C28" s="4" t="s">
        <v>90</v>
      </c>
      <c r="D28" s="104" t="s">
        <v>160</v>
      </c>
      <c r="E28" s="105"/>
      <c r="F28" s="17">
        <v>40000</v>
      </c>
      <c r="G28" s="17">
        <v>0</v>
      </c>
      <c r="H28" s="17">
        <f t="shared" si="0"/>
        <v>-40000</v>
      </c>
      <c r="I28" s="17">
        <f t="shared" si="1"/>
        <v>-100</v>
      </c>
    </row>
    <row r="29" spans="1:9" ht="12.75">
      <c r="A29" s="4" t="s">
        <v>23</v>
      </c>
      <c r="B29" s="4"/>
      <c r="C29" s="4" t="s">
        <v>91</v>
      </c>
      <c r="D29" s="104" t="s">
        <v>161</v>
      </c>
      <c r="E29" s="105"/>
      <c r="F29" s="17">
        <v>27000</v>
      </c>
      <c r="G29" s="17">
        <v>0</v>
      </c>
      <c r="H29" s="17">
        <f t="shared" si="0"/>
        <v>-27000</v>
      </c>
      <c r="I29" s="17">
        <f t="shared" si="1"/>
        <v>-100</v>
      </c>
    </row>
    <row r="30" spans="1:9" ht="12.75">
      <c r="A30" s="13"/>
      <c r="B30" s="13"/>
      <c r="C30" s="13" t="s">
        <v>16</v>
      </c>
      <c r="D30" s="93" t="s">
        <v>162</v>
      </c>
      <c r="E30" s="94"/>
      <c r="F30" s="37">
        <f>SUM(F31:F37)</f>
        <v>3948.05</v>
      </c>
      <c r="G30" s="37">
        <f>SUM(G31:G37)</f>
        <v>0</v>
      </c>
      <c r="H30" s="37">
        <f t="shared" si="0"/>
        <v>-3948.05</v>
      </c>
      <c r="I30" s="37">
        <f t="shared" si="1"/>
        <v>-100</v>
      </c>
    </row>
    <row r="31" spans="1:9" ht="12.75">
      <c r="A31" s="4" t="s">
        <v>24</v>
      </c>
      <c r="B31" s="4"/>
      <c r="C31" s="4" t="s">
        <v>92</v>
      </c>
      <c r="D31" s="104" t="s">
        <v>163</v>
      </c>
      <c r="E31" s="105"/>
      <c r="F31" s="17">
        <v>814.8</v>
      </c>
      <c r="G31" s="17">
        <v>0</v>
      </c>
      <c r="H31" s="17">
        <f t="shared" si="0"/>
        <v>-814.8</v>
      </c>
      <c r="I31" s="17">
        <f t="shared" si="1"/>
        <v>-100</v>
      </c>
    </row>
    <row r="32" spans="1:9" ht="12.75">
      <c r="A32" s="4" t="s">
        <v>25</v>
      </c>
      <c r="B32" s="4"/>
      <c r="C32" s="4" t="s">
        <v>93</v>
      </c>
      <c r="D32" s="104" t="s">
        <v>164</v>
      </c>
      <c r="E32" s="105"/>
      <c r="F32" s="17">
        <v>807.5</v>
      </c>
      <c r="G32" s="17">
        <v>0</v>
      </c>
      <c r="H32" s="17">
        <f t="shared" si="0"/>
        <v>-807.5</v>
      </c>
      <c r="I32" s="17">
        <f t="shared" si="1"/>
        <v>-100</v>
      </c>
    </row>
    <row r="33" spans="1:9" ht="12.75">
      <c r="A33" s="4" t="s">
        <v>26</v>
      </c>
      <c r="B33" s="4"/>
      <c r="C33" s="4" t="s">
        <v>94</v>
      </c>
      <c r="D33" s="104" t="s">
        <v>165</v>
      </c>
      <c r="E33" s="105"/>
      <c r="F33" s="17">
        <v>360.02</v>
      </c>
      <c r="G33" s="17">
        <v>0</v>
      </c>
      <c r="H33" s="17">
        <f t="shared" si="0"/>
        <v>-360.02</v>
      </c>
      <c r="I33" s="17">
        <f t="shared" si="1"/>
        <v>-100</v>
      </c>
    </row>
    <row r="34" spans="1:9" ht="12.75">
      <c r="A34" s="4" t="s">
        <v>27</v>
      </c>
      <c r="B34" s="4"/>
      <c r="C34" s="4" t="s">
        <v>95</v>
      </c>
      <c r="D34" s="104" t="s">
        <v>166</v>
      </c>
      <c r="E34" s="105"/>
      <c r="F34" s="17">
        <v>396.02</v>
      </c>
      <c r="G34" s="17">
        <v>0</v>
      </c>
      <c r="H34" s="17">
        <f t="shared" si="0"/>
        <v>-396.02</v>
      </c>
      <c r="I34" s="17">
        <f t="shared" si="1"/>
        <v>-100</v>
      </c>
    </row>
    <row r="35" spans="1:9" ht="12.75">
      <c r="A35" s="4" t="s">
        <v>28</v>
      </c>
      <c r="B35" s="4"/>
      <c r="C35" s="4" t="s">
        <v>96</v>
      </c>
      <c r="D35" s="104" t="s">
        <v>167</v>
      </c>
      <c r="E35" s="105"/>
      <c r="F35" s="17">
        <v>782.2</v>
      </c>
      <c r="G35" s="17">
        <v>0</v>
      </c>
      <c r="H35" s="17">
        <f t="shared" si="0"/>
        <v>-782.2</v>
      </c>
      <c r="I35" s="17">
        <f t="shared" si="1"/>
        <v>-100</v>
      </c>
    </row>
    <row r="36" spans="1:9" ht="12.75">
      <c r="A36" s="4" t="s">
        <v>29</v>
      </c>
      <c r="B36" s="4"/>
      <c r="C36" s="4" t="s">
        <v>97</v>
      </c>
      <c r="D36" s="104" t="s">
        <v>168</v>
      </c>
      <c r="E36" s="105"/>
      <c r="F36" s="17">
        <v>323.01</v>
      </c>
      <c r="G36" s="17">
        <v>0</v>
      </c>
      <c r="H36" s="17">
        <f t="shared" si="0"/>
        <v>-323.01</v>
      </c>
      <c r="I36" s="17">
        <f t="shared" si="1"/>
        <v>-100</v>
      </c>
    </row>
    <row r="37" spans="1:9" ht="12.75">
      <c r="A37" s="4" t="s">
        <v>30</v>
      </c>
      <c r="B37" s="4"/>
      <c r="C37" s="4" t="s">
        <v>98</v>
      </c>
      <c r="D37" s="104" t="s">
        <v>169</v>
      </c>
      <c r="E37" s="105"/>
      <c r="F37" s="17">
        <v>464.5</v>
      </c>
      <c r="G37" s="17">
        <v>0</v>
      </c>
      <c r="H37" s="17">
        <f t="shared" si="0"/>
        <v>-464.5</v>
      </c>
      <c r="I37" s="17">
        <f t="shared" si="1"/>
        <v>-100</v>
      </c>
    </row>
    <row r="38" spans="1:9" ht="12.75">
      <c r="A38" s="13"/>
      <c r="B38" s="13"/>
      <c r="C38" s="13" t="s">
        <v>17</v>
      </c>
      <c r="D38" s="93" t="s">
        <v>170</v>
      </c>
      <c r="E38" s="94"/>
      <c r="F38" s="37">
        <f>SUM(F39:F40)</f>
        <v>61887.64</v>
      </c>
      <c r="G38" s="37">
        <f>SUM(G39:G40)</f>
        <v>0</v>
      </c>
      <c r="H38" s="37">
        <f t="shared" si="0"/>
        <v>-61887.64</v>
      </c>
      <c r="I38" s="37">
        <f t="shared" si="1"/>
        <v>-100</v>
      </c>
    </row>
    <row r="39" spans="1:9" ht="12.75">
      <c r="A39" s="4" t="s">
        <v>31</v>
      </c>
      <c r="B39" s="4"/>
      <c r="C39" s="4" t="s">
        <v>99</v>
      </c>
      <c r="D39" s="104" t="s">
        <v>171</v>
      </c>
      <c r="E39" s="105"/>
      <c r="F39" s="17">
        <v>56286.36</v>
      </c>
      <c r="G39" s="17">
        <v>0</v>
      </c>
      <c r="H39" s="17">
        <f t="shared" si="0"/>
        <v>-56286.36</v>
      </c>
      <c r="I39" s="17">
        <f t="shared" si="1"/>
        <v>-100</v>
      </c>
    </row>
    <row r="40" spans="1:9" ht="12.75">
      <c r="A40" s="4" t="s">
        <v>32</v>
      </c>
      <c r="B40" s="4"/>
      <c r="C40" s="4" t="s">
        <v>100</v>
      </c>
      <c r="D40" s="104" t="s">
        <v>172</v>
      </c>
      <c r="E40" s="105"/>
      <c r="F40" s="17">
        <v>5601.28</v>
      </c>
      <c r="G40" s="17">
        <v>0</v>
      </c>
      <c r="H40" s="17">
        <f t="shared" si="0"/>
        <v>-5601.28</v>
      </c>
      <c r="I40" s="17">
        <f t="shared" si="1"/>
        <v>-100</v>
      </c>
    </row>
    <row r="41" spans="1:9" ht="12.75">
      <c r="A41" s="13"/>
      <c r="B41" s="13"/>
      <c r="C41" s="13" t="s">
        <v>18</v>
      </c>
      <c r="D41" s="93" t="s">
        <v>173</v>
      </c>
      <c r="E41" s="94"/>
      <c r="F41" s="37">
        <f>SUM(F42:F43)</f>
        <v>92974.23</v>
      </c>
      <c r="G41" s="37">
        <f>SUM(G42:G43)</f>
        <v>0</v>
      </c>
      <c r="H41" s="37">
        <f t="shared" si="0"/>
        <v>-92974.23</v>
      </c>
      <c r="I41" s="37">
        <f t="shared" si="1"/>
        <v>-100</v>
      </c>
    </row>
    <row r="42" spans="1:9" ht="12.75">
      <c r="A42" s="4" t="s">
        <v>33</v>
      </c>
      <c r="B42" s="4"/>
      <c r="C42" s="4" t="s">
        <v>101</v>
      </c>
      <c r="D42" s="104" t="s">
        <v>174</v>
      </c>
      <c r="E42" s="105"/>
      <c r="F42" s="17">
        <v>64204</v>
      </c>
      <c r="G42" s="17">
        <v>0</v>
      </c>
      <c r="H42" s="17">
        <f t="shared" si="0"/>
        <v>-64204</v>
      </c>
      <c r="I42" s="17">
        <f t="shared" si="1"/>
        <v>-100</v>
      </c>
    </row>
    <row r="43" spans="1:9" ht="12.75">
      <c r="A43" s="4" t="s">
        <v>34</v>
      </c>
      <c r="B43" s="4"/>
      <c r="C43" s="4" t="s">
        <v>102</v>
      </c>
      <c r="D43" s="104" t="s">
        <v>175</v>
      </c>
      <c r="E43" s="105"/>
      <c r="F43" s="17">
        <v>28770.23</v>
      </c>
      <c r="G43" s="17">
        <v>0</v>
      </c>
      <c r="H43" s="17">
        <f aca="true" t="shared" si="2" ref="H43:H74">G43-F43</f>
        <v>-28770.23</v>
      </c>
      <c r="I43" s="17">
        <f aca="true" t="shared" si="3" ref="I43:I74">H43/F43*100</f>
        <v>-100</v>
      </c>
    </row>
    <row r="44" spans="1:9" ht="12.75">
      <c r="A44" s="13"/>
      <c r="B44" s="13"/>
      <c r="C44" s="13" t="s">
        <v>21</v>
      </c>
      <c r="D44" s="93" t="s">
        <v>176</v>
      </c>
      <c r="E44" s="94"/>
      <c r="F44" s="37">
        <f>SUM(F45:F45)</f>
        <v>69531.3</v>
      </c>
      <c r="G44" s="37">
        <f>SUM(G45:G45)</f>
        <v>0</v>
      </c>
      <c r="H44" s="37">
        <f t="shared" si="2"/>
        <v>-69531.3</v>
      </c>
      <c r="I44" s="37">
        <f t="shared" si="3"/>
        <v>-100</v>
      </c>
    </row>
    <row r="45" spans="1:9" ht="12.75">
      <c r="A45" s="4" t="s">
        <v>35</v>
      </c>
      <c r="B45" s="4"/>
      <c r="C45" s="4" t="s">
        <v>103</v>
      </c>
      <c r="D45" s="104" t="s">
        <v>177</v>
      </c>
      <c r="E45" s="105"/>
      <c r="F45" s="17">
        <v>69531.3</v>
      </c>
      <c r="G45" s="17">
        <v>0</v>
      </c>
      <c r="H45" s="17">
        <f t="shared" si="2"/>
        <v>-69531.3</v>
      </c>
      <c r="I45" s="17">
        <f t="shared" si="3"/>
        <v>-100</v>
      </c>
    </row>
    <row r="46" spans="1:9" ht="12.75">
      <c r="A46" s="13"/>
      <c r="B46" s="13"/>
      <c r="C46" s="13" t="s">
        <v>22</v>
      </c>
      <c r="D46" s="93" t="s">
        <v>178</v>
      </c>
      <c r="E46" s="94"/>
      <c r="F46" s="37">
        <f>SUM(F47:F48)</f>
        <v>92535.2</v>
      </c>
      <c r="G46" s="37">
        <f>SUM(G47:G48)</f>
        <v>0</v>
      </c>
      <c r="H46" s="37">
        <f t="shared" si="2"/>
        <v>-92535.2</v>
      </c>
      <c r="I46" s="37">
        <f t="shared" si="3"/>
        <v>-100</v>
      </c>
    </row>
    <row r="47" spans="1:9" ht="12.75">
      <c r="A47" s="4" t="s">
        <v>36</v>
      </c>
      <c r="B47" s="4"/>
      <c r="C47" s="4" t="s">
        <v>104</v>
      </c>
      <c r="D47" s="104" t="s">
        <v>179</v>
      </c>
      <c r="E47" s="105"/>
      <c r="F47" s="17">
        <v>10404.8</v>
      </c>
      <c r="G47" s="17">
        <v>0</v>
      </c>
      <c r="H47" s="17">
        <f t="shared" si="2"/>
        <v>-10404.8</v>
      </c>
      <c r="I47" s="17">
        <f t="shared" si="3"/>
        <v>-100</v>
      </c>
    </row>
    <row r="48" spans="1:9" ht="12.75">
      <c r="A48" s="6" t="s">
        <v>37</v>
      </c>
      <c r="B48" s="6"/>
      <c r="C48" s="6" t="s">
        <v>105</v>
      </c>
      <c r="D48" s="106" t="s">
        <v>180</v>
      </c>
      <c r="E48" s="107"/>
      <c r="F48" s="18">
        <v>82130.4</v>
      </c>
      <c r="G48" s="18">
        <v>0</v>
      </c>
      <c r="H48" s="18">
        <f t="shared" si="2"/>
        <v>-82130.4</v>
      </c>
      <c r="I48" s="18">
        <f t="shared" si="3"/>
        <v>-100</v>
      </c>
    </row>
    <row r="49" spans="1:9" ht="12.75">
      <c r="A49" s="13"/>
      <c r="B49" s="13"/>
      <c r="C49" s="13" t="s">
        <v>23</v>
      </c>
      <c r="D49" s="93" t="s">
        <v>181</v>
      </c>
      <c r="E49" s="94"/>
      <c r="F49" s="37">
        <f>SUM(F50:F52)</f>
        <v>44601.58</v>
      </c>
      <c r="G49" s="37">
        <f>SUM(G50:G52)</f>
        <v>0</v>
      </c>
      <c r="H49" s="37">
        <f t="shared" si="2"/>
        <v>-44601.58</v>
      </c>
      <c r="I49" s="37">
        <f t="shared" si="3"/>
        <v>-100</v>
      </c>
    </row>
    <row r="50" spans="1:9" ht="12.75">
      <c r="A50" s="4" t="s">
        <v>38</v>
      </c>
      <c r="B50" s="4"/>
      <c r="C50" s="4" t="s">
        <v>106</v>
      </c>
      <c r="D50" s="104" t="s">
        <v>182</v>
      </c>
      <c r="E50" s="105"/>
      <c r="F50" s="17">
        <v>23214.45</v>
      </c>
      <c r="G50" s="17">
        <v>0</v>
      </c>
      <c r="H50" s="17">
        <f t="shared" si="2"/>
        <v>-23214.45</v>
      </c>
      <c r="I50" s="17">
        <f t="shared" si="3"/>
        <v>-100</v>
      </c>
    </row>
    <row r="51" spans="1:9" ht="12.75">
      <c r="A51" s="4" t="s">
        <v>39</v>
      </c>
      <c r="B51" s="4"/>
      <c r="C51" s="4" t="s">
        <v>107</v>
      </c>
      <c r="D51" s="104" t="s">
        <v>183</v>
      </c>
      <c r="E51" s="105"/>
      <c r="F51" s="17">
        <v>6586.04</v>
      </c>
      <c r="G51" s="17">
        <v>0</v>
      </c>
      <c r="H51" s="17">
        <f t="shared" si="2"/>
        <v>-6586.04</v>
      </c>
      <c r="I51" s="17">
        <f t="shared" si="3"/>
        <v>-100</v>
      </c>
    </row>
    <row r="52" spans="1:9" ht="12.75">
      <c r="A52" s="4" t="s">
        <v>40</v>
      </c>
      <c r="B52" s="4"/>
      <c r="C52" s="4" t="s">
        <v>108</v>
      </c>
      <c r="D52" s="104" t="s">
        <v>184</v>
      </c>
      <c r="E52" s="105"/>
      <c r="F52" s="17">
        <v>14801.09</v>
      </c>
      <c r="G52" s="17">
        <v>0</v>
      </c>
      <c r="H52" s="17">
        <f t="shared" si="2"/>
        <v>-14801.09</v>
      </c>
      <c r="I52" s="17">
        <f t="shared" si="3"/>
        <v>-100</v>
      </c>
    </row>
    <row r="53" spans="1:9" ht="12.75">
      <c r="A53" s="13"/>
      <c r="B53" s="13"/>
      <c r="C53" s="13" t="s">
        <v>61</v>
      </c>
      <c r="D53" s="93" t="s">
        <v>185</v>
      </c>
      <c r="E53" s="94"/>
      <c r="F53" s="37">
        <f>SUM(F54:F60)</f>
        <v>1208608.98</v>
      </c>
      <c r="G53" s="37">
        <f>SUM(G54:G60)</f>
        <v>0</v>
      </c>
      <c r="H53" s="37">
        <f t="shared" si="2"/>
        <v>-1208608.98</v>
      </c>
      <c r="I53" s="37">
        <f t="shared" si="3"/>
        <v>-100</v>
      </c>
    </row>
    <row r="54" spans="1:9" ht="12.75">
      <c r="A54" s="4" t="s">
        <v>41</v>
      </c>
      <c r="B54" s="4"/>
      <c r="C54" s="4" t="s">
        <v>109</v>
      </c>
      <c r="D54" s="104" t="s">
        <v>186</v>
      </c>
      <c r="E54" s="105"/>
      <c r="F54" s="17">
        <v>31494.4</v>
      </c>
      <c r="G54" s="17">
        <v>0</v>
      </c>
      <c r="H54" s="17">
        <f t="shared" si="2"/>
        <v>-31494.4</v>
      </c>
      <c r="I54" s="17">
        <f t="shared" si="3"/>
        <v>-100</v>
      </c>
    </row>
    <row r="55" spans="1:9" ht="12.75">
      <c r="A55" s="4" t="s">
        <v>42</v>
      </c>
      <c r="B55" s="4"/>
      <c r="C55" s="4" t="s">
        <v>110</v>
      </c>
      <c r="D55" s="104" t="s">
        <v>187</v>
      </c>
      <c r="E55" s="105"/>
      <c r="F55" s="17">
        <v>216659.43</v>
      </c>
      <c r="G55" s="17">
        <v>0</v>
      </c>
      <c r="H55" s="17">
        <f t="shared" si="2"/>
        <v>-216659.43</v>
      </c>
      <c r="I55" s="17">
        <f t="shared" si="3"/>
        <v>-100</v>
      </c>
    </row>
    <row r="56" spans="1:9" ht="12.75">
      <c r="A56" s="4" t="s">
        <v>43</v>
      </c>
      <c r="B56" s="4"/>
      <c r="C56" s="4" t="s">
        <v>111</v>
      </c>
      <c r="D56" s="104" t="s">
        <v>188</v>
      </c>
      <c r="E56" s="105"/>
      <c r="F56" s="17">
        <v>202026.3</v>
      </c>
      <c r="G56" s="17">
        <v>0</v>
      </c>
      <c r="H56" s="17">
        <f t="shared" si="2"/>
        <v>-202026.3</v>
      </c>
      <c r="I56" s="17">
        <f t="shared" si="3"/>
        <v>-100</v>
      </c>
    </row>
    <row r="57" spans="1:9" ht="12.75">
      <c r="A57" s="4" t="s">
        <v>44</v>
      </c>
      <c r="B57" s="4"/>
      <c r="C57" s="4" t="s">
        <v>112</v>
      </c>
      <c r="D57" s="104" t="s">
        <v>189</v>
      </c>
      <c r="E57" s="105"/>
      <c r="F57" s="17">
        <v>235783.35</v>
      </c>
      <c r="G57" s="17">
        <v>0</v>
      </c>
      <c r="H57" s="17">
        <f t="shared" si="2"/>
        <v>-235783.35</v>
      </c>
      <c r="I57" s="17">
        <f t="shared" si="3"/>
        <v>-100</v>
      </c>
    </row>
    <row r="58" spans="1:9" ht="12.75">
      <c r="A58" s="4" t="s">
        <v>45</v>
      </c>
      <c r="B58" s="4"/>
      <c r="C58" s="4" t="s">
        <v>113</v>
      </c>
      <c r="D58" s="104" t="s">
        <v>190</v>
      </c>
      <c r="E58" s="105"/>
      <c r="F58" s="17">
        <v>408157</v>
      </c>
      <c r="G58" s="17">
        <v>0</v>
      </c>
      <c r="H58" s="17">
        <f t="shared" si="2"/>
        <v>-408157</v>
      </c>
      <c r="I58" s="17">
        <f t="shared" si="3"/>
        <v>-100</v>
      </c>
    </row>
    <row r="59" spans="1:9" ht="12.75">
      <c r="A59" s="4" t="s">
        <v>46</v>
      </c>
      <c r="B59" s="4"/>
      <c r="C59" s="4" t="s">
        <v>114</v>
      </c>
      <c r="D59" s="104" t="s">
        <v>191</v>
      </c>
      <c r="E59" s="105"/>
      <c r="F59" s="17">
        <v>109714.5</v>
      </c>
      <c r="G59" s="17">
        <v>0</v>
      </c>
      <c r="H59" s="17">
        <f t="shared" si="2"/>
        <v>-109714.5</v>
      </c>
      <c r="I59" s="17">
        <f t="shared" si="3"/>
        <v>-100</v>
      </c>
    </row>
    <row r="60" spans="1:9" ht="12.75">
      <c r="A60" s="4" t="s">
        <v>47</v>
      </c>
      <c r="B60" s="4"/>
      <c r="C60" s="4" t="s">
        <v>115</v>
      </c>
      <c r="D60" s="104" t="s">
        <v>192</v>
      </c>
      <c r="E60" s="105"/>
      <c r="F60" s="17">
        <v>4774</v>
      </c>
      <c r="G60" s="17">
        <v>0</v>
      </c>
      <c r="H60" s="17">
        <f t="shared" si="2"/>
        <v>-4774</v>
      </c>
      <c r="I60" s="17">
        <f t="shared" si="3"/>
        <v>-100</v>
      </c>
    </row>
    <row r="61" spans="1:9" ht="12.75">
      <c r="A61" s="13"/>
      <c r="B61" s="13"/>
      <c r="C61" s="13" t="s">
        <v>62</v>
      </c>
      <c r="D61" s="93" t="s">
        <v>193</v>
      </c>
      <c r="E61" s="94"/>
      <c r="F61" s="37">
        <f>SUM(F62:F67)</f>
        <v>727492.3200000001</v>
      </c>
      <c r="G61" s="37">
        <f>SUM(G62:G67)</f>
        <v>0</v>
      </c>
      <c r="H61" s="37">
        <f t="shared" si="2"/>
        <v>-727492.3200000001</v>
      </c>
      <c r="I61" s="37">
        <f t="shared" si="3"/>
        <v>-100</v>
      </c>
    </row>
    <row r="62" spans="1:9" ht="12.75">
      <c r="A62" s="4" t="s">
        <v>48</v>
      </c>
      <c r="B62" s="4"/>
      <c r="C62" s="4" t="s">
        <v>116</v>
      </c>
      <c r="D62" s="104" t="s">
        <v>194</v>
      </c>
      <c r="E62" s="105"/>
      <c r="F62" s="17">
        <v>26719.77</v>
      </c>
      <c r="G62" s="17">
        <v>0</v>
      </c>
      <c r="H62" s="17">
        <f t="shared" si="2"/>
        <v>-26719.77</v>
      </c>
      <c r="I62" s="17">
        <f t="shared" si="3"/>
        <v>-100</v>
      </c>
    </row>
    <row r="63" spans="1:9" ht="12.75">
      <c r="A63" s="4" t="s">
        <v>49</v>
      </c>
      <c r="B63" s="4"/>
      <c r="C63" s="4" t="s">
        <v>117</v>
      </c>
      <c r="D63" s="104" t="s">
        <v>195</v>
      </c>
      <c r="E63" s="105"/>
      <c r="F63" s="17">
        <v>35773.63</v>
      </c>
      <c r="G63" s="17">
        <v>0</v>
      </c>
      <c r="H63" s="17">
        <f t="shared" si="2"/>
        <v>-35773.63</v>
      </c>
      <c r="I63" s="17">
        <f t="shared" si="3"/>
        <v>-100</v>
      </c>
    </row>
    <row r="64" spans="1:9" ht="12.75">
      <c r="A64" s="4" t="s">
        <v>50</v>
      </c>
      <c r="B64" s="4"/>
      <c r="C64" s="4" t="s">
        <v>118</v>
      </c>
      <c r="D64" s="104" t="s">
        <v>196</v>
      </c>
      <c r="E64" s="105"/>
      <c r="F64" s="17">
        <v>335464.5</v>
      </c>
      <c r="G64" s="17">
        <v>0</v>
      </c>
      <c r="H64" s="17">
        <f t="shared" si="2"/>
        <v>-335464.5</v>
      </c>
      <c r="I64" s="17">
        <f t="shared" si="3"/>
        <v>-100</v>
      </c>
    </row>
    <row r="65" spans="1:9" ht="12.75">
      <c r="A65" s="4" t="s">
        <v>51</v>
      </c>
      <c r="B65" s="4"/>
      <c r="C65" s="4" t="s">
        <v>119</v>
      </c>
      <c r="D65" s="104" t="s">
        <v>197</v>
      </c>
      <c r="E65" s="105"/>
      <c r="F65" s="17">
        <v>329082.5</v>
      </c>
      <c r="G65" s="17">
        <v>0</v>
      </c>
      <c r="H65" s="17">
        <f t="shared" si="2"/>
        <v>-329082.5</v>
      </c>
      <c r="I65" s="17">
        <f t="shared" si="3"/>
        <v>-100</v>
      </c>
    </row>
    <row r="66" spans="1:9" ht="12.75">
      <c r="A66" s="4" t="s">
        <v>52</v>
      </c>
      <c r="B66" s="4"/>
      <c r="C66" s="4" t="s">
        <v>117</v>
      </c>
      <c r="D66" s="104" t="s">
        <v>198</v>
      </c>
      <c r="E66" s="105"/>
      <c r="F66" s="17">
        <v>179.06</v>
      </c>
      <c r="G66" s="17">
        <v>0</v>
      </c>
      <c r="H66" s="17">
        <f t="shared" si="2"/>
        <v>-179.06</v>
      </c>
      <c r="I66" s="17">
        <f t="shared" si="3"/>
        <v>-100</v>
      </c>
    </row>
    <row r="67" spans="1:9" ht="12.75">
      <c r="A67" s="4" t="s">
        <v>53</v>
      </c>
      <c r="B67" s="4"/>
      <c r="C67" s="4" t="s">
        <v>120</v>
      </c>
      <c r="D67" s="104" t="s">
        <v>199</v>
      </c>
      <c r="E67" s="105"/>
      <c r="F67" s="17">
        <v>272.86</v>
      </c>
      <c r="G67" s="17">
        <v>0</v>
      </c>
      <c r="H67" s="17">
        <f t="shared" si="2"/>
        <v>-272.86</v>
      </c>
      <c r="I67" s="17">
        <f t="shared" si="3"/>
        <v>-100</v>
      </c>
    </row>
    <row r="68" spans="1:9" ht="12.75">
      <c r="A68" s="13"/>
      <c r="B68" s="13"/>
      <c r="C68" s="13" t="s">
        <v>64</v>
      </c>
      <c r="D68" s="93" t="s">
        <v>200</v>
      </c>
      <c r="E68" s="94"/>
      <c r="F68" s="37">
        <f>SUM(F69:F71)</f>
        <v>43218</v>
      </c>
      <c r="G68" s="37">
        <f>SUM(G69:G71)</f>
        <v>0</v>
      </c>
      <c r="H68" s="37">
        <f t="shared" si="2"/>
        <v>-43218</v>
      </c>
      <c r="I68" s="37">
        <f t="shared" si="3"/>
        <v>-100</v>
      </c>
    </row>
    <row r="69" spans="1:9" ht="12.75">
      <c r="A69" s="4" t="s">
        <v>54</v>
      </c>
      <c r="B69" s="4"/>
      <c r="C69" s="4" t="s">
        <v>121</v>
      </c>
      <c r="D69" s="104" t="s">
        <v>201</v>
      </c>
      <c r="E69" s="105"/>
      <c r="F69" s="17">
        <v>23100</v>
      </c>
      <c r="G69" s="17">
        <v>0</v>
      </c>
      <c r="H69" s="17">
        <f t="shared" si="2"/>
        <v>-23100</v>
      </c>
      <c r="I69" s="17">
        <f t="shared" si="3"/>
        <v>-100</v>
      </c>
    </row>
    <row r="70" spans="1:9" ht="12.75">
      <c r="A70" s="6" t="s">
        <v>55</v>
      </c>
      <c r="B70" s="6"/>
      <c r="C70" s="6" t="s">
        <v>122</v>
      </c>
      <c r="D70" s="106" t="s">
        <v>202</v>
      </c>
      <c r="E70" s="107"/>
      <c r="F70" s="18">
        <v>11403</v>
      </c>
      <c r="G70" s="18">
        <v>0</v>
      </c>
      <c r="H70" s="18">
        <f t="shared" si="2"/>
        <v>-11403</v>
      </c>
      <c r="I70" s="18">
        <f t="shared" si="3"/>
        <v>-100</v>
      </c>
    </row>
    <row r="71" spans="1:9" ht="12.75">
      <c r="A71" s="4" t="s">
        <v>56</v>
      </c>
      <c r="B71" s="4"/>
      <c r="C71" s="4" t="s">
        <v>123</v>
      </c>
      <c r="D71" s="104" t="s">
        <v>203</v>
      </c>
      <c r="E71" s="105"/>
      <c r="F71" s="17">
        <v>8715</v>
      </c>
      <c r="G71" s="17">
        <v>0</v>
      </c>
      <c r="H71" s="17">
        <f t="shared" si="2"/>
        <v>-8715</v>
      </c>
      <c r="I71" s="17">
        <f t="shared" si="3"/>
        <v>-100</v>
      </c>
    </row>
    <row r="72" spans="1:9" ht="12.75">
      <c r="A72" s="13"/>
      <c r="B72" s="13"/>
      <c r="C72" s="13" t="s">
        <v>124</v>
      </c>
      <c r="D72" s="93" t="s">
        <v>204</v>
      </c>
      <c r="E72" s="94"/>
      <c r="F72" s="37">
        <f>SUM(F73:F73)</f>
        <v>14184.08</v>
      </c>
      <c r="G72" s="37">
        <f>SUM(G73:G73)</f>
        <v>0</v>
      </c>
      <c r="H72" s="37">
        <f t="shared" si="2"/>
        <v>-14184.08</v>
      </c>
      <c r="I72" s="37">
        <f t="shared" si="3"/>
        <v>-100</v>
      </c>
    </row>
    <row r="73" spans="1:9" ht="12.75">
      <c r="A73" s="4" t="s">
        <v>57</v>
      </c>
      <c r="B73" s="4"/>
      <c r="C73" s="4" t="s">
        <v>125</v>
      </c>
      <c r="D73" s="104" t="s">
        <v>205</v>
      </c>
      <c r="E73" s="105"/>
      <c r="F73" s="17">
        <v>14184.08</v>
      </c>
      <c r="G73" s="17">
        <v>0</v>
      </c>
      <c r="H73" s="17">
        <f t="shared" si="2"/>
        <v>-14184.08</v>
      </c>
      <c r="I73" s="17">
        <f t="shared" si="3"/>
        <v>-100</v>
      </c>
    </row>
    <row r="74" spans="1:9" ht="12.75">
      <c r="A74" s="13"/>
      <c r="B74" s="13"/>
      <c r="C74" s="13" t="s">
        <v>126</v>
      </c>
      <c r="D74" s="93" t="s">
        <v>206</v>
      </c>
      <c r="E74" s="94"/>
      <c r="F74" s="37">
        <f>SUM(F75:F81)</f>
        <v>306882.06</v>
      </c>
      <c r="G74" s="37">
        <f>SUM(G75:G81)</f>
        <v>0</v>
      </c>
      <c r="H74" s="37">
        <f t="shared" si="2"/>
        <v>-306882.06</v>
      </c>
      <c r="I74" s="37">
        <f t="shared" si="3"/>
        <v>-100</v>
      </c>
    </row>
    <row r="75" spans="1:9" ht="12.75">
      <c r="A75" s="4" t="s">
        <v>58</v>
      </c>
      <c r="B75" s="4"/>
      <c r="C75" s="4" t="s">
        <v>127</v>
      </c>
      <c r="D75" s="104" t="s">
        <v>207</v>
      </c>
      <c r="E75" s="105"/>
      <c r="F75" s="17">
        <v>4662.18</v>
      </c>
      <c r="G75" s="17">
        <v>0</v>
      </c>
      <c r="H75" s="17">
        <f aca="true" t="shared" si="4" ref="H75:H87">G75-F75</f>
        <v>-4662.18</v>
      </c>
      <c r="I75" s="17">
        <f aca="true" t="shared" si="5" ref="I75:I87">H75/F75*100</f>
        <v>-100</v>
      </c>
    </row>
    <row r="76" spans="1:9" ht="12.75">
      <c r="A76" s="6" t="s">
        <v>59</v>
      </c>
      <c r="B76" s="6"/>
      <c r="C76" s="6" t="s">
        <v>128</v>
      </c>
      <c r="D76" s="106" t="s">
        <v>208</v>
      </c>
      <c r="E76" s="107"/>
      <c r="F76" s="18">
        <v>2090</v>
      </c>
      <c r="G76" s="18">
        <v>0</v>
      </c>
      <c r="H76" s="18">
        <f t="shared" si="4"/>
        <v>-2090</v>
      </c>
      <c r="I76" s="18">
        <f t="shared" si="5"/>
        <v>-100</v>
      </c>
    </row>
    <row r="77" spans="1:9" ht="12.75">
      <c r="A77" s="4" t="s">
        <v>60</v>
      </c>
      <c r="B77" s="4"/>
      <c r="C77" s="4" t="s">
        <v>129</v>
      </c>
      <c r="D77" s="104" t="s">
        <v>209</v>
      </c>
      <c r="E77" s="105"/>
      <c r="F77" s="17">
        <v>165562.04</v>
      </c>
      <c r="G77" s="17">
        <v>0</v>
      </c>
      <c r="H77" s="17">
        <f t="shared" si="4"/>
        <v>-165562.04</v>
      </c>
      <c r="I77" s="17">
        <f t="shared" si="5"/>
        <v>-100</v>
      </c>
    </row>
    <row r="78" spans="1:9" ht="12.75">
      <c r="A78" s="6" t="s">
        <v>61</v>
      </c>
      <c r="B78" s="6"/>
      <c r="C78" s="6" t="s">
        <v>130</v>
      </c>
      <c r="D78" s="106" t="s">
        <v>210</v>
      </c>
      <c r="E78" s="107"/>
      <c r="F78" s="18">
        <v>114571.52</v>
      </c>
      <c r="G78" s="18">
        <v>0</v>
      </c>
      <c r="H78" s="18">
        <f t="shared" si="4"/>
        <v>-114571.52</v>
      </c>
      <c r="I78" s="18">
        <f t="shared" si="5"/>
        <v>-100</v>
      </c>
    </row>
    <row r="79" spans="1:9" ht="12.75">
      <c r="A79" s="4" t="s">
        <v>62</v>
      </c>
      <c r="B79" s="4"/>
      <c r="C79" s="4" t="s">
        <v>131</v>
      </c>
      <c r="D79" s="104" t="s">
        <v>211</v>
      </c>
      <c r="E79" s="105"/>
      <c r="F79" s="17">
        <v>378.96</v>
      </c>
      <c r="G79" s="17">
        <v>0</v>
      </c>
      <c r="H79" s="17">
        <f t="shared" si="4"/>
        <v>-378.96</v>
      </c>
      <c r="I79" s="17">
        <f t="shared" si="5"/>
        <v>-100</v>
      </c>
    </row>
    <row r="80" spans="1:9" ht="12.75">
      <c r="A80" s="4" t="s">
        <v>63</v>
      </c>
      <c r="B80" s="4"/>
      <c r="C80" s="4" t="s">
        <v>132</v>
      </c>
      <c r="D80" s="104" t="s">
        <v>212</v>
      </c>
      <c r="E80" s="105"/>
      <c r="F80" s="17">
        <v>1867.35</v>
      </c>
      <c r="G80" s="17">
        <v>0</v>
      </c>
      <c r="H80" s="17">
        <f t="shared" si="4"/>
        <v>-1867.35</v>
      </c>
      <c r="I80" s="17">
        <f t="shared" si="5"/>
        <v>-100</v>
      </c>
    </row>
    <row r="81" spans="1:9" ht="12.75">
      <c r="A81" s="4" t="s">
        <v>64</v>
      </c>
      <c r="B81" s="4"/>
      <c r="C81" s="4" t="s">
        <v>133</v>
      </c>
      <c r="D81" s="104" t="s">
        <v>213</v>
      </c>
      <c r="E81" s="105"/>
      <c r="F81" s="17">
        <v>17750.01</v>
      </c>
      <c r="G81" s="17">
        <v>0</v>
      </c>
      <c r="H81" s="17">
        <f t="shared" si="4"/>
        <v>-17750.01</v>
      </c>
      <c r="I81" s="17">
        <f t="shared" si="5"/>
        <v>-100</v>
      </c>
    </row>
    <row r="82" spans="1:9" ht="12.75">
      <c r="A82" s="13"/>
      <c r="B82" s="13"/>
      <c r="C82" s="13" t="s">
        <v>134</v>
      </c>
      <c r="D82" s="93" t="s">
        <v>214</v>
      </c>
      <c r="E82" s="94"/>
      <c r="F82" s="37">
        <f>SUM(F83:F87)</f>
        <v>212147.1</v>
      </c>
      <c r="G82" s="37">
        <f>SUM(G83:G87)</f>
        <v>0</v>
      </c>
      <c r="H82" s="37">
        <f t="shared" si="4"/>
        <v>-212147.1</v>
      </c>
      <c r="I82" s="37">
        <f t="shared" si="5"/>
        <v>-100</v>
      </c>
    </row>
    <row r="83" spans="1:9" ht="12.75">
      <c r="A83" s="4" t="s">
        <v>65</v>
      </c>
      <c r="B83" s="4"/>
      <c r="C83" s="4" t="s">
        <v>135</v>
      </c>
      <c r="D83" s="104" t="s">
        <v>215</v>
      </c>
      <c r="E83" s="105"/>
      <c r="F83" s="17">
        <v>373.5</v>
      </c>
      <c r="G83" s="17">
        <v>0</v>
      </c>
      <c r="H83" s="17">
        <f t="shared" si="4"/>
        <v>-373.5</v>
      </c>
      <c r="I83" s="17">
        <f t="shared" si="5"/>
        <v>-100</v>
      </c>
    </row>
    <row r="84" spans="1:9" ht="12.75">
      <c r="A84" s="4" t="s">
        <v>66</v>
      </c>
      <c r="B84" s="4"/>
      <c r="C84" s="4" t="s">
        <v>136</v>
      </c>
      <c r="D84" s="104" t="s">
        <v>216</v>
      </c>
      <c r="E84" s="105"/>
      <c r="F84" s="17">
        <v>385.2</v>
      </c>
      <c r="G84" s="17">
        <v>0</v>
      </c>
      <c r="H84" s="17">
        <f t="shared" si="4"/>
        <v>-385.2</v>
      </c>
      <c r="I84" s="17">
        <f t="shared" si="5"/>
        <v>-100</v>
      </c>
    </row>
    <row r="85" spans="1:9" ht="12.75">
      <c r="A85" s="4" t="s">
        <v>67</v>
      </c>
      <c r="B85" s="4"/>
      <c r="C85" s="4" t="s">
        <v>135</v>
      </c>
      <c r="D85" s="104" t="s">
        <v>217</v>
      </c>
      <c r="E85" s="105"/>
      <c r="F85" s="17">
        <v>190.9</v>
      </c>
      <c r="G85" s="17">
        <v>0</v>
      </c>
      <c r="H85" s="17">
        <f t="shared" si="4"/>
        <v>-190.9</v>
      </c>
      <c r="I85" s="17">
        <f t="shared" si="5"/>
        <v>-100</v>
      </c>
    </row>
    <row r="86" spans="1:9" ht="12.75">
      <c r="A86" s="4" t="s">
        <v>68</v>
      </c>
      <c r="B86" s="4"/>
      <c r="C86" s="4" t="s">
        <v>136</v>
      </c>
      <c r="D86" s="104" t="s">
        <v>218</v>
      </c>
      <c r="E86" s="105"/>
      <c r="F86" s="17">
        <v>196.88</v>
      </c>
      <c r="G86" s="17">
        <v>0</v>
      </c>
      <c r="H86" s="17">
        <f t="shared" si="4"/>
        <v>-196.88</v>
      </c>
      <c r="I86" s="17">
        <f t="shared" si="5"/>
        <v>-100</v>
      </c>
    </row>
    <row r="87" spans="1:9" ht="12.75">
      <c r="A87" s="4" t="s">
        <v>69</v>
      </c>
      <c r="B87" s="4"/>
      <c r="C87" s="4" t="s">
        <v>137</v>
      </c>
      <c r="D87" s="104" t="s">
        <v>219</v>
      </c>
      <c r="E87" s="105"/>
      <c r="F87" s="17">
        <v>211000.62</v>
      </c>
      <c r="G87" s="17">
        <v>0</v>
      </c>
      <c r="H87" s="17">
        <f t="shared" si="4"/>
        <v>-211000.62</v>
      </c>
      <c r="I87" s="17">
        <f t="shared" si="5"/>
        <v>-100</v>
      </c>
    </row>
  </sheetData>
  <sheetProtection/>
  <mergeCells count="103"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A8:A9"/>
    <mergeCell ref="B8:D9"/>
    <mergeCell ref="E8:E9"/>
    <mergeCell ref="F8:F9"/>
    <mergeCell ref="G8:G9"/>
    <mergeCell ref="H8:I9"/>
    <mergeCell ref="A6:A7"/>
    <mergeCell ref="B6:D7"/>
    <mergeCell ref="E6:E7"/>
    <mergeCell ref="F6:F7"/>
    <mergeCell ref="G6:G7"/>
    <mergeCell ref="H6:I7"/>
    <mergeCell ref="A4:A5"/>
    <mergeCell ref="B4:D5"/>
    <mergeCell ref="E4:E5"/>
    <mergeCell ref="F4:F5"/>
    <mergeCell ref="G4:G5"/>
    <mergeCell ref="H4:I5"/>
    <mergeCell ref="A1:H1"/>
    <mergeCell ref="A2:A3"/>
    <mergeCell ref="B2:D3"/>
    <mergeCell ref="E2:E3"/>
    <mergeCell ref="F2:F3"/>
    <mergeCell ref="G2:G3"/>
    <mergeCell ref="H2:I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:I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108" t="s">
        <v>299</v>
      </c>
      <c r="B1" s="109"/>
      <c r="C1" s="109"/>
      <c r="D1" s="109"/>
      <c r="E1" s="109"/>
      <c r="F1" s="109"/>
      <c r="G1" s="109"/>
      <c r="H1" s="109"/>
      <c r="I1" s="109"/>
    </row>
    <row r="2" spans="1:10" ht="12.75">
      <c r="A2" s="76" t="s">
        <v>0</v>
      </c>
      <c r="B2" s="77"/>
      <c r="C2" s="80" t="s">
        <v>138</v>
      </c>
      <c r="D2" s="101"/>
      <c r="E2" s="83" t="s">
        <v>238</v>
      </c>
      <c r="F2" s="83"/>
      <c r="G2" s="77"/>
      <c r="H2" s="83" t="s">
        <v>339</v>
      </c>
      <c r="I2" s="110"/>
      <c r="J2" s="32"/>
    </row>
    <row r="3" spans="1:10" ht="12.75">
      <c r="A3" s="78"/>
      <c r="B3" s="79"/>
      <c r="C3" s="81"/>
      <c r="D3" s="81"/>
      <c r="E3" s="79"/>
      <c r="F3" s="79"/>
      <c r="G3" s="79"/>
      <c r="H3" s="79"/>
      <c r="I3" s="85"/>
      <c r="J3" s="32"/>
    </row>
    <row r="4" spans="1:10" ht="12.75">
      <c r="A4" s="86" t="s">
        <v>1</v>
      </c>
      <c r="B4" s="79"/>
      <c r="C4" s="87" t="s">
        <v>139</v>
      </c>
      <c r="D4" s="79"/>
      <c r="E4" s="87" t="s">
        <v>239</v>
      </c>
      <c r="F4" s="87"/>
      <c r="G4" s="79"/>
      <c r="H4" s="87" t="s">
        <v>339</v>
      </c>
      <c r="I4" s="111"/>
      <c r="J4" s="32"/>
    </row>
    <row r="5" spans="1:10" ht="12.75">
      <c r="A5" s="78"/>
      <c r="B5" s="79"/>
      <c r="C5" s="79"/>
      <c r="D5" s="79"/>
      <c r="E5" s="79"/>
      <c r="F5" s="79"/>
      <c r="G5" s="79"/>
      <c r="H5" s="79"/>
      <c r="I5" s="85"/>
      <c r="J5" s="32"/>
    </row>
    <row r="6" spans="1:10" ht="12.75">
      <c r="A6" s="86" t="s">
        <v>2</v>
      </c>
      <c r="B6" s="79"/>
      <c r="C6" s="87" t="s">
        <v>140</v>
      </c>
      <c r="D6" s="79"/>
      <c r="E6" s="87" t="s">
        <v>240</v>
      </c>
      <c r="F6" s="87"/>
      <c r="G6" s="79"/>
      <c r="H6" s="87" t="s">
        <v>339</v>
      </c>
      <c r="I6" s="111"/>
      <c r="J6" s="32"/>
    </row>
    <row r="7" spans="1:10" ht="12.75">
      <c r="A7" s="78"/>
      <c r="B7" s="79"/>
      <c r="C7" s="79"/>
      <c r="D7" s="79"/>
      <c r="E7" s="79"/>
      <c r="F7" s="79"/>
      <c r="G7" s="79"/>
      <c r="H7" s="79"/>
      <c r="I7" s="85"/>
      <c r="J7" s="32"/>
    </row>
    <row r="8" spans="1:10" ht="12.75">
      <c r="A8" s="86" t="s">
        <v>221</v>
      </c>
      <c r="B8" s="79"/>
      <c r="C8" s="89">
        <v>42856</v>
      </c>
      <c r="D8" s="79"/>
      <c r="E8" s="87" t="s">
        <v>222</v>
      </c>
      <c r="F8" s="89">
        <v>43434</v>
      </c>
      <c r="G8" s="79"/>
      <c r="H8" s="88" t="s">
        <v>340</v>
      </c>
      <c r="I8" s="111" t="s">
        <v>69</v>
      </c>
      <c r="J8" s="32"/>
    </row>
    <row r="9" spans="1:10" ht="12.75">
      <c r="A9" s="78"/>
      <c r="B9" s="79"/>
      <c r="C9" s="79"/>
      <c r="D9" s="79"/>
      <c r="E9" s="79"/>
      <c r="F9" s="79"/>
      <c r="G9" s="79"/>
      <c r="H9" s="79"/>
      <c r="I9" s="85"/>
      <c r="J9" s="32"/>
    </row>
    <row r="10" spans="1:10" ht="12.75">
      <c r="A10" s="86" t="s">
        <v>3</v>
      </c>
      <c r="B10" s="79"/>
      <c r="C10" s="87">
        <v>8222972</v>
      </c>
      <c r="D10" s="79"/>
      <c r="E10" s="87" t="s">
        <v>241</v>
      </c>
      <c r="F10" s="87" t="s">
        <v>243</v>
      </c>
      <c r="G10" s="79"/>
      <c r="H10" s="88" t="s">
        <v>341</v>
      </c>
      <c r="I10" s="114">
        <v>42794</v>
      </c>
      <c r="J10" s="32"/>
    </row>
    <row r="11" spans="1:10" ht="12.75">
      <c r="A11" s="112"/>
      <c r="B11" s="113"/>
      <c r="C11" s="113"/>
      <c r="D11" s="113"/>
      <c r="E11" s="113"/>
      <c r="F11" s="113"/>
      <c r="G11" s="113"/>
      <c r="H11" s="113"/>
      <c r="I11" s="115"/>
      <c r="J11" s="32"/>
    </row>
    <row r="12" spans="1:9" ht="23.25" customHeight="1">
      <c r="A12" s="116" t="s">
        <v>300</v>
      </c>
      <c r="B12" s="117"/>
      <c r="C12" s="117"/>
      <c r="D12" s="117"/>
      <c r="E12" s="117"/>
      <c r="F12" s="117"/>
      <c r="G12" s="117"/>
      <c r="H12" s="117"/>
      <c r="I12" s="117"/>
    </row>
    <row r="13" spans="1:10" ht="26.25" customHeight="1">
      <c r="A13" s="53" t="s">
        <v>301</v>
      </c>
      <c r="B13" s="118" t="s">
        <v>313</v>
      </c>
      <c r="C13" s="119"/>
      <c r="D13" s="53" t="s">
        <v>315</v>
      </c>
      <c r="E13" s="118" t="s">
        <v>324</v>
      </c>
      <c r="F13" s="119"/>
      <c r="G13" s="53" t="s">
        <v>325</v>
      </c>
      <c r="H13" s="118" t="s">
        <v>342</v>
      </c>
      <c r="I13" s="119"/>
      <c r="J13" s="32"/>
    </row>
    <row r="14" spans="1:10" ht="15" customHeight="1">
      <c r="A14" s="54" t="s">
        <v>302</v>
      </c>
      <c r="B14" s="58" t="s">
        <v>314</v>
      </c>
      <c r="C14" s="61">
        <f>SUM('Stavební rozpočet'!R12:R88)</f>
        <v>0</v>
      </c>
      <c r="D14" s="120" t="s">
        <v>316</v>
      </c>
      <c r="E14" s="121"/>
      <c r="F14" s="61">
        <v>0</v>
      </c>
      <c r="G14" s="120" t="s">
        <v>326</v>
      </c>
      <c r="H14" s="121"/>
      <c r="I14" s="61">
        <v>0</v>
      </c>
      <c r="J14" s="32"/>
    </row>
    <row r="15" spans="1:10" ht="15" customHeight="1">
      <c r="A15" s="55"/>
      <c r="B15" s="58" t="s">
        <v>242</v>
      </c>
      <c r="C15" s="61">
        <f>SUM('Stavební rozpočet'!S12:S88)</f>
        <v>0</v>
      </c>
      <c r="D15" s="120" t="s">
        <v>317</v>
      </c>
      <c r="E15" s="121"/>
      <c r="F15" s="61">
        <v>0</v>
      </c>
      <c r="G15" s="120" t="s">
        <v>327</v>
      </c>
      <c r="H15" s="121"/>
      <c r="I15" s="61">
        <v>0</v>
      </c>
      <c r="J15" s="32"/>
    </row>
    <row r="16" spans="1:10" ht="15" customHeight="1">
      <c r="A16" s="54" t="s">
        <v>303</v>
      </c>
      <c r="B16" s="58" t="s">
        <v>314</v>
      </c>
      <c r="C16" s="61">
        <f>SUM('Stavební rozpočet'!T12:T88)</f>
        <v>0</v>
      </c>
      <c r="D16" s="120" t="s">
        <v>318</v>
      </c>
      <c r="E16" s="121"/>
      <c r="F16" s="61">
        <v>0</v>
      </c>
      <c r="G16" s="120" t="s">
        <v>328</v>
      </c>
      <c r="H16" s="121"/>
      <c r="I16" s="61">
        <v>0</v>
      </c>
      <c r="J16" s="32"/>
    </row>
    <row r="17" spans="1:10" ht="15" customHeight="1">
      <c r="A17" s="55"/>
      <c r="B17" s="58" t="s">
        <v>242</v>
      </c>
      <c r="C17" s="61">
        <f>SUM('Stavební rozpočet'!U12:U88)</f>
        <v>0</v>
      </c>
      <c r="D17" s="120"/>
      <c r="E17" s="121"/>
      <c r="F17" s="62"/>
      <c r="G17" s="120" t="s">
        <v>329</v>
      </c>
      <c r="H17" s="121"/>
      <c r="I17" s="61">
        <v>0</v>
      </c>
      <c r="J17" s="32"/>
    </row>
    <row r="18" spans="1:10" ht="15" customHeight="1">
      <c r="A18" s="54" t="s">
        <v>304</v>
      </c>
      <c r="B18" s="58" t="s">
        <v>314</v>
      </c>
      <c r="C18" s="61">
        <f>SUM('Stavební rozpočet'!V12:V88)</f>
        <v>0</v>
      </c>
      <c r="D18" s="120"/>
      <c r="E18" s="121"/>
      <c r="F18" s="62"/>
      <c r="G18" s="120" t="s">
        <v>330</v>
      </c>
      <c r="H18" s="121"/>
      <c r="I18" s="61">
        <v>0</v>
      </c>
      <c r="J18" s="32"/>
    </row>
    <row r="19" spans="1:10" ht="15" customHeight="1">
      <c r="A19" s="55"/>
      <c r="B19" s="58" t="s">
        <v>242</v>
      </c>
      <c r="C19" s="61">
        <f>SUM('Stavební rozpočet'!W12:W88)</f>
        <v>0</v>
      </c>
      <c r="D19" s="120"/>
      <c r="E19" s="121"/>
      <c r="F19" s="62"/>
      <c r="G19" s="120" t="s">
        <v>331</v>
      </c>
      <c r="H19" s="121"/>
      <c r="I19" s="61">
        <v>0</v>
      </c>
      <c r="J19" s="32"/>
    </row>
    <row r="20" spans="1:10" ht="15" customHeight="1">
      <c r="A20" s="122" t="s">
        <v>305</v>
      </c>
      <c r="B20" s="123"/>
      <c r="C20" s="61">
        <f>SUM('Stavební rozpočet'!X12:X88)</f>
        <v>0</v>
      </c>
      <c r="D20" s="120"/>
      <c r="E20" s="121"/>
      <c r="F20" s="62"/>
      <c r="G20" s="120"/>
      <c r="H20" s="121"/>
      <c r="I20" s="62"/>
      <c r="J20" s="32"/>
    </row>
    <row r="21" spans="1:10" ht="15" customHeight="1">
      <c r="A21" s="122" t="s">
        <v>306</v>
      </c>
      <c r="B21" s="123"/>
      <c r="C21" s="61">
        <f>SUM('Stavební rozpočet'!P12:P88)</f>
        <v>0</v>
      </c>
      <c r="D21" s="120"/>
      <c r="E21" s="121"/>
      <c r="F21" s="62"/>
      <c r="G21" s="120"/>
      <c r="H21" s="121"/>
      <c r="I21" s="62"/>
      <c r="J21" s="32"/>
    </row>
    <row r="22" spans="1:10" ht="16.5" customHeight="1">
      <c r="A22" s="122" t="s">
        <v>307</v>
      </c>
      <c r="B22" s="123"/>
      <c r="C22" s="61">
        <f>SUM(C14:C21)</f>
        <v>0</v>
      </c>
      <c r="D22" s="122" t="s">
        <v>319</v>
      </c>
      <c r="E22" s="123"/>
      <c r="F22" s="61">
        <f>SUM(F14:F21)</f>
        <v>0</v>
      </c>
      <c r="G22" s="122" t="s">
        <v>332</v>
      </c>
      <c r="H22" s="123"/>
      <c r="I22" s="61">
        <f>SUM(I14:I21)</f>
        <v>0</v>
      </c>
      <c r="J22" s="32"/>
    </row>
    <row r="23" spans="1:10" ht="15" customHeight="1">
      <c r="A23" s="8"/>
      <c r="B23" s="8"/>
      <c r="C23" s="59"/>
      <c r="D23" s="122" t="s">
        <v>320</v>
      </c>
      <c r="E23" s="123"/>
      <c r="F23" s="63">
        <v>0</v>
      </c>
      <c r="G23" s="122" t="s">
        <v>333</v>
      </c>
      <c r="H23" s="123"/>
      <c r="I23" s="61">
        <v>0</v>
      </c>
      <c r="J23" s="32"/>
    </row>
    <row r="24" spans="4:9" ht="15" customHeight="1">
      <c r="D24" s="8"/>
      <c r="E24" s="8"/>
      <c r="F24" s="64"/>
      <c r="G24" s="122" t="s">
        <v>334</v>
      </c>
      <c r="H24" s="123"/>
      <c r="I24" s="66"/>
    </row>
    <row r="25" spans="6:10" ht="15" customHeight="1">
      <c r="F25" s="65"/>
      <c r="G25" s="122" t="s">
        <v>335</v>
      </c>
      <c r="H25" s="123"/>
      <c r="I25" s="61">
        <v>0</v>
      </c>
      <c r="J25" s="32"/>
    </row>
    <row r="26" spans="1:9" ht="12.75">
      <c r="A26" s="47"/>
      <c r="B26" s="47"/>
      <c r="C26" s="47"/>
      <c r="G26" s="8"/>
      <c r="H26" s="8"/>
      <c r="I26" s="8"/>
    </row>
    <row r="27" spans="1:9" ht="15" customHeight="1">
      <c r="A27" s="124" t="s">
        <v>308</v>
      </c>
      <c r="B27" s="125"/>
      <c r="C27" s="67">
        <f>SUM('Stavební rozpočet'!Z12:Z88)</f>
        <v>0</v>
      </c>
      <c r="D27" s="60"/>
      <c r="E27" s="47"/>
      <c r="F27" s="47"/>
      <c r="G27" s="47"/>
      <c r="H27" s="47"/>
      <c r="I27" s="47"/>
    </row>
    <row r="28" spans="1:10" ht="15" customHeight="1">
      <c r="A28" s="124" t="s">
        <v>309</v>
      </c>
      <c r="B28" s="125"/>
      <c r="C28" s="67">
        <f>SUM('Stavební rozpočet'!AA12:AA88)</f>
        <v>0</v>
      </c>
      <c r="D28" s="124" t="s">
        <v>321</v>
      </c>
      <c r="E28" s="125"/>
      <c r="F28" s="67">
        <f>ROUND(C28*(15/100),2)</f>
        <v>0</v>
      </c>
      <c r="G28" s="124" t="s">
        <v>336</v>
      </c>
      <c r="H28" s="125"/>
      <c r="I28" s="67">
        <f>SUM(C27:C29)</f>
        <v>0</v>
      </c>
      <c r="J28" s="32"/>
    </row>
    <row r="29" spans="1:10" ht="15" customHeight="1">
      <c r="A29" s="124" t="s">
        <v>310</v>
      </c>
      <c r="B29" s="125"/>
      <c r="C29" s="67">
        <f>SUM('Stavební rozpočet'!AB12:AB88)+(F22+I22+F23+I23+I24+I25)</f>
        <v>0</v>
      </c>
      <c r="D29" s="124" t="s">
        <v>322</v>
      </c>
      <c r="E29" s="125"/>
      <c r="F29" s="67">
        <f>ROUND(C29*(21/100),2)</f>
        <v>0</v>
      </c>
      <c r="G29" s="124" t="s">
        <v>337</v>
      </c>
      <c r="H29" s="125"/>
      <c r="I29" s="67">
        <f>SUM(F28:F29)+I28</f>
        <v>0</v>
      </c>
      <c r="J29" s="32"/>
    </row>
    <row r="30" spans="1:9" ht="12.75">
      <c r="A30" s="56"/>
      <c r="B30" s="56"/>
      <c r="C30" s="56"/>
      <c r="D30" s="56"/>
      <c r="E30" s="56"/>
      <c r="F30" s="56"/>
      <c r="G30" s="56"/>
      <c r="H30" s="56"/>
      <c r="I30" s="56"/>
    </row>
    <row r="31" spans="1:10" ht="14.25" customHeight="1">
      <c r="A31" s="126" t="s">
        <v>311</v>
      </c>
      <c r="B31" s="127"/>
      <c r="C31" s="128"/>
      <c r="D31" s="126" t="s">
        <v>323</v>
      </c>
      <c r="E31" s="127"/>
      <c r="F31" s="128"/>
      <c r="G31" s="126" t="s">
        <v>338</v>
      </c>
      <c r="H31" s="127"/>
      <c r="I31" s="128"/>
      <c r="J31" s="33"/>
    </row>
    <row r="32" spans="1:10" ht="14.25" customHeight="1">
      <c r="A32" s="129"/>
      <c r="B32" s="130"/>
      <c r="C32" s="131"/>
      <c r="D32" s="129"/>
      <c r="E32" s="130"/>
      <c r="F32" s="131"/>
      <c r="G32" s="129"/>
      <c r="H32" s="130"/>
      <c r="I32" s="131"/>
      <c r="J32" s="33"/>
    </row>
    <row r="33" spans="1:10" ht="14.25" customHeight="1">
      <c r="A33" s="129"/>
      <c r="B33" s="130"/>
      <c r="C33" s="131"/>
      <c r="D33" s="129"/>
      <c r="E33" s="130"/>
      <c r="F33" s="131"/>
      <c r="G33" s="129"/>
      <c r="H33" s="130"/>
      <c r="I33" s="131"/>
      <c r="J33" s="33"/>
    </row>
    <row r="34" spans="1:10" ht="14.25" customHeight="1">
      <c r="A34" s="129"/>
      <c r="B34" s="130"/>
      <c r="C34" s="131"/>
      <c r="D34" s="129"/>
      <c r="E34" s="130"/>
      <c r="F34" s="131"/>
      <c r="G34" s="129"/>
      <c r="H34" s="130"/>
      <c r="I34" s="131"/>
      <c r="J34" s="33"/>
    </row>
    <row r="35" spans="1:10" ht="14.25" customHeight="1">
      <c r="A35" s="132" t="s">
        <v>312</v>
      </c>
      <c r="B35" s="133"/>
      <c r="C35" s="134"/>
      <c r="D35" s="132" t="s">
        <v>312</v>
      </c>
      <c r="E35" s="133"/>
      <c r="F35" s="134"/>
      <c r="G35" s="132" t="s">
        <v>312</v>
      </c>
      <c r="H35" s="133"/>
      <c r="I35" s="134"/>
      <c r="J35" s="33"/>
    </row>
    <row r="36" spans="1:9" ht="11.25" customHeight="1">
      <c r="A36" s="57" t="s">
        <v>70</v>
      </c>
      <c r="B36" s="45"/>
      <c r="C36" s="45"/>
      <c r="D36" s="45"/>
      <c r="E36" s="45"/>
      <c r="F36" s="45"/>
      <c r="G36" s="45"/>
      <c r="H36" s="45"/>
      <c r="I36" s="45"/>
    </row>
    <row r="37" spans="1:9" ht="409.5" customHeight="1" hidden="1">
      <c r="A37" s="87"/>
      <c r="B37" s="79"/>
      <c r="C37" s="79"/>
      <c r="D37" s="79"/>
      <c r="E37" s="79"/>
      <c r="F37" s="79"/>
      <c r="G37" s="79"/>
      <c r="H37" s="79"/>
      <c r="I37" s="79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Leplt Jaroslav</dc:creator>
  <cp:keywords/>
  <dc:description/>
  <cp:lastModifiedBy>Leplt Jaroslav</cp:lastModifiedBy>
  <dcterms:created xsi:type="dcterms:W3CDTF">2017-05-09T12:17:43Z</dcterms:created>
  <dcterms:modified xsi:type="dcterms:W3CDTF">2017-05-10T11:27:19Z</dcterms:modified>
  <cp:category/>
  <cp:version/>
  <cp:contentType/>
  <cp:contentStatus/>
</cp:coreProperties>
</file>