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tavební rozpočet" sheetId="1" r:id="rId1"/>
    <sheet name="Stavební rozpočet - součet" sheetId="2" r:id="rId2"/>
    <sheet name="Krycí list rozpočtu" sheetId="3" r:id="rId3"/>
  </sheets>
  <definedNames/>
  <calcPr fullCalcOnLoad="1"/>
</workbook>
</file>

<file path=xl/sharedStrings.xml><?xml version="1.0" encoding="utf-8"?>
<sst xmlns="http://schemas.openxmlformats.org/spreadsheetml/2006/main" count="786" uniqueCount="367">
  <si>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</si>
  <si>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</si>
  <si>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</si>
  <si>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</si>
  <si>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</si>
  <si>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</si>
  <si>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</si>
  <si>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</si>
  <si>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</si>
  <si>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</si>
  <si>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</si>
  <si>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</si>
  <si>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</si>
  <si>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</si>
  <si>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</si>
  <si>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</si>
  <si>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</si>
  <si>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</si>
  <si>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</si>
  <si>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</si>
  <si>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</si>
  <si>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</si>
  <si>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</si>
  <si>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</si>
  <si>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</si>
  <si>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</si>
  <si>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</si>
  <si>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</si>
  <si>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</si>
  <si>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</si>
  <si>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</si>
  <si>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</si>
  <si>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</si>
  <si>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</si>
  <si>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</si>
  <si>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</si>
  <si>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</si>
  <si>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</si>
  <si>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</si>
  <si>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</si>
  <si>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</si>
  <si>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</si>
  <si>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</si>
  <si>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</si>
  <si>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</si>
  <si>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</si>
  <si>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</si>
  <si>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</si>
  <si>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</si>
  <si>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</si>
  <si>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</si>
  <si>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</si>
  <si>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</si>
  <si>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</si>
  <si>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</si>
  <si>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</si>
  <si>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</si>
  <si>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Poznámka:</t>
  </si>
  <si>
    <t>Kód</t>
  </si>
  <si>
    <t>113106121R00</t>
  </si>
  <si>
    <t>RTS komentář:</t>
  </si>
  <si>
    <t>113107615R00</t>
  </si>
  <si>
    <t>113107630R00</t>
  </si>
  <si>
    <t>113108315R00</t>
  </si>
  <si>
    <t>113202111R00</t>
  </si>
  <si>
    <t>122202202R00</t>
  </si>
  <si>
    <t>122202209R00</t>
  </si>
  <si>
    <t>162301101R00</t>
  </si>
  <si>
    <t>162701105R00</t>
  </si>
  <si>
    <t>167101101R00</t>
  </si>
  <si>
    <t>171101102R00</t>
  </si>
  <si>
    <t>181101101R00</t>
  </si>
  <si>
    <t>181101102R00</t>
  </si>
  <si>
    <t>183405211R00</t>
  </si>
  <si>
    <t>181301103R00</t>
  </si>
  <si>
    <t>199000002R00</t>
  </si>
  <si>
    <t>56</t>
  </si>
  <si>
    <t>564851111R00</t>
  </si>
  <si>
    <t>564962111R00</t>
  </si>
  <si>
    <t>565161211R00</t>
  </si>
  <si>
    <t>567133115R00</t>
  </si>
  <si>
    <t>57</t>
  </si>
  <si>
    <t>573211111R00</t>
  </si>
  <si>
    <t>577142112R00</t>
  </si>
  <si>
    <t>59</t>
  </si>
  <si>
    <t>596215021R00</t>
  </si>
  <si>
    <t>596215040R00</t>
  </si>
  <si>
    <t>592451175</t>
  </si>
  <si>
    <t>592451158</t>
  </si>
  <si>
    <t>592452570</t>
  </si>
  <si>
    <t>596245041R00</t>
  </si>
  <si>
    <t>596291113R00</t>
  </si>
  <si>
    <t>596921191R00</t>
  </si>
  <si>
    <t>91</t>
  </si>
  <si>
    <t>917862111R00</t>
  </si>
  <si>
    <t>59217001</t>
  </si>
  <si>
    <t>59217010</t>
  </si>
  <si>
    <t>59217020</t>
  </si>
  <si>
    <t>918101111R00</t>
  </si>
  <si>
    <t>919735113R00</t>
  </si>
  <si>
    <t>914001121R00</t>
  </si>
  <si>
    <t>914001125R00</t>
  </si>
  <si>
    <t>40445050.A</t>
  </si>
  <si>
    <t>40445141.A</t>
  </si>
  <si>
    <t>915721111R00</t>
  </si>
  <si>
    <t>97</t>
  </si>
  <si>
    <t>979054441R00</t>
  </si>
  <si>
    <t>S</t>
  </si>
  <si>
    <t>979082213R00</t>
  </si>
  <si>
    <t>979082219R00</t>
  </si>
  <si>
    <t>979084216R00</t>
  </si>
  <si>
    <t>979084219R00</t>
  </si>
  <si>
    <t>979990001R00</t>
  </si>
  <si>
    <t>979990112R00</t>
  </si>
  <si>
    <t>998225111R00</t>
  </si>
  <si>
    <t>Ulice Husova, Hybešova - parkovací stání</t>
  </si>
  <si>
    <t>SO02 Ulice Hybešova</t>
  </si>
  <si>
    <t>Šlapanice</t>
  </si>
  <si>
    <t>Zkrácený popis / Varianta</t>
  </si>
  <si>
    <t>Rozměry</t>
  </si>
  <si>
    <t>Přípravné a přidružené práce</t>
  </si>
  <si>
    <t>Rozebrání dlažeb z betonových dlaždic na sucho</t>
  </si>
  <si>
    <t>30,5   Hybešova, zpevněné plochy</t>
  </si>
  <si>
    <t>14   Hybešova, chodník</t>
  </si>
  <si>
    <t>Položka není určena pro rozebrání dlažeb uložených do betonového lože a pro rozebrání dlažeb z mozaiky uložených do cementové malty.V položce nejsou zakalkulovány náklady na popř. nutné očištění vybouraných betonových dlaždic.</t>
  </si>
  <si>
    <t>Odstranění podkladu nad 50 m2,kam.drcené tl.15 cm</t>
  </si>
  <si>
    <t>44,5   Hybešova, podkl. vrstva chodníku</t>
  </si>
  <si>
    <t>Položka je určena i pro odstranění podkladů nebo krytů ze zemin stabilizovaných vápnem. Pro volbu položky z hlediska množství se uvažuje každá souvisle odstraňovaná plocha krytu nebo podkladu stejného druhu samostatně.Odstraňuje-li se několik vrstev vozovky najednou, jednotlivé vrstvy se oceňují každá samostatně.</t>
  </si>
  <si>
    <t>Odstranění podkladu nad 50 m2,kam.drcené tl.30 cm</t>
  </si>
  <si>
    <t>23,2   Hybešova, podkl. vrstvy vozovky</t>
  </si>
  <si>
    <t>Odstranění podkladu pl.do 50 m2, živice tl. 15 cm</t>
  </si>
  <si>
    <t>116*0,3   Hybešova</t>
  </si>
  <si>
    <t>Vytrhání obrub z krajníků nebo obrubníků stojatých</t>
  </si>
  <si>
    <t>132   Hybešova</t>
  </si>
  <si>
    <t>Odkopávky a prokopávky</t>
  </si>
  <si>
    <t>Odkopávky pro silnice v hor. 3 do 1000 m3</t>
  </si>
  <si>
    <t>105   Hybešova</t>
  </si>
  <si>
    <t>Příplatek za lepivost - odkop. pro silnice v hor.3</t>
  </si>
  <si>
    <t>105*0,5</t>
  </si>
  <si>
    <t>Do měrných jednotek se udává poměrné množství zeminy, které ulpí v nářadí a o které je snížen celkový výkon stroje.</t>
  </si>
  <si>
    <t>Přemístění výkopku</t>
  </si>
  <si>
    <t>Vodorovné přemístění výkopku z hor.1-4 do 500 m</t>
  </si>
  <si>
    <t>6,9+4,2   ornice sejmutá na ulici Husově</t>
  </si>
  <si>
    <t>Vodorovné přemístění výkopku z hor.1-4 do 10000 m</t>
  </si>
  <si>
    <t>105   odkopávky</t>
  </si>
  <si>
    <t>-21   násypy</t>
  </si>
  <si>
    <t>Nakládání výkopku z hor.1-4 v množství do 100 m3</t>
  </si>
  <si>
    <t>11,1   ornice</t>
  </si>
  <si>
    <t>Konstrukce ze zemin</t>
  </si>
  <si>
    <t>Uložení sypaniny do násypů zhutněných na 96% PS</t>
  </si>
  <si>
    <t>21   Hybešova</t>
  </si>
  <si>
    <t>Položka se používá pro násypy z hornin soudržných.</t>
  </si>
  <si>
    <t>Povrchové úpravy terénu</t>
  </si>
  <si>
    <t>Úprava pláně v zářezech v hor. 1-4, bez zhutnění</t>
  </si>
  <si>
    <t>138*0,5   Hybešova</t>
  </si>
  <si>
    <t>Úprava pláně v zářezech v hor. 1-4, se zhutněním</t>
  </si>
  <si>
    <t>Položky jsou shodné i pro úpravu pláně v násypech.</t>
  </si>
  <si>
    <t>Výsev trávníku hydroosevem na ornici</t>
  </si>
  <si>
    <t>Rozprostření ornice, rovina, tl. 15-20 cm,do 500m2</t>
  </si>
  <si>
    <t>Položka se používá pro souvislé plochy do 500 m2.</t>
  </si>
  <si>
    <t>Hloubení pro podzemní stěny, ražení a hloubení důlní</t>
  </si>
  <si>
    <t>Poplatek za skládku horniny 1- 4</t>
  </si>
  <si>
    <t>Podkladní vrstvy komunikací a zpevněných ploch</t>
  </si>
  <si>
    <t>Podklad ze štěrkodrti po zhutnění tloušťky 15 cm</t>
  </si>
  <si>
    <t>193+24   Hybešova, parkoviště</t>
  </si>
  <si>
    <t>80   Hybešova, rozšíření podkladu</t>
  </si>
  <si>
    <t>Podklad z mechanicky zpevněného kameniva tl. 20 cm</t>
  </si>
  <si>
    <t>193   Hybešova</t>
  </si>
  <si>
    <t>Podklad z obal kam.ACP 16+,ACP 22+,nad 3 m,tl.8 cm</t>
  </si>
  <si>
    <t>116*0,2   Hybešova, zapravení stáv. vozovky</t>
  </si>
  <si>
    <t>Podklad z kameniva zpev.cementem KZC 2 tl.20 cm</t>
  </si>
  <si>
    <t>24   Hybešova</t>
  </si>
  <si>
    <t>Kryty štěrkových a živičných pozemních komunikací a zpevněných ploch</t>
  </si>
  <si>
    <t>Postřik živičný spojovací z asfaltu 0,5-0,7 kg/m2</t>
  </si>
  <si>
    <t>23,2+34,8</t>
  </si>
  <si>
    <t>Beton asfaltový ACO 11+, ACO 16+, nad 3 m, tl.5 cm</t>
  </si>
  <si>
    <t>116*0,3   Hybešova, zapravení stáv. vozovky</t>
  </si>
  <si>
    <t>Dlažby a předlažby pozemních komunikací a zpevněných ploch</t>
  </si>
  <si>
    <t>Kladení zámkové dlažby tl. 6 cm do drtě tl. 4 cm</t>
  </si>
  <si>
    <t>14   Hybešova, chodník, stáv. dlažba</t>
  </si>
  <si>
    <t>Od CÚ 2015/ II. není v jednotkové ceně započteno řezání dlaždic!!! Rozpočtuje se samostatnou položkou 596 29-1111.R00 Řezání zámkové dlažby tl. 60 mm. V položce jsou zakalkulovány i náklady na dodání hmot pro lože a na dodání materiálu na výplň spár. V položce nejsou zakalkulovány náklady na dodání zámkové dlažby, která se oceňuje ve specifikaci, ztratné se doporučuje ve výši 1%.</t>
  </si>
  <si>
    <t>Kladení zámkové dlažby tl. 8 cm do drtě tl. 4 cm</t>
  </si>
  <si>
    <t>24-2,9   Hybešova, vyhrazené stání</t>
  </si>
  <si>
    <t>193   Hybešova, parkoviště</t>
  </si>
  <si>
    <t>Od CÚ 2015/ II. není v jednotkové ceně započteno řezání dlaždic!!! Rozpočtuje se samostatnou položkou 596 29-1113.R00 Řezání zámkové dlažby tl. 80 mm. V položce jsou zakalkulovány i náklady na dodání hmot pro lože a na dodání materiálu na výplň spár. V položce nejsou zakalkulovány náklady na dodání zámkové dlažby, která se oceňuje ve specifikaci, ztratné se doporučuje ve výši 1%.</t>
  </si>
  <si>
    <t>Dlažba betonová 20x10x8 cm přírodní</t>
  </si>
  <si>
    <t>24-2,9</t>
  </si>
  <si>
    <t>;ztratné 1%; 0,211</t>
  </si>
  <si>
    <t>dodáváno včetně půlek (případně krajovek)</t>
  </si>
  <si>
    <t>Dlažba betonová hmatová 20x10x8 cm červená</t>
  </si>
  <si>
    <t>5*2*0,2   Hybešova, značení parkovišť</t>
  </si>
  <si>
    <t>;ztratné 1%; 0,02</t>
  </si>
  <si>
    <t>Tato užitečná specializovaná dlažba s výrazně tvarovaným povrchem HOLLAND SLP je určena jako doplněk ke všem typům zpevněných ploch tam, kde je nutno vést nevidomé a slabozraké spoluobčany určitým směrem, nebo je upozornit na změnu směru, přechod pro chodce, zastávku MHD, na vchod do budovy apod. Speciálně upravený povrch dlažby s výstupky je jednoznačně a nezaměnitelně zjistitelný hmatově – holí - i nášlapem, proto může pomoci při budování vodících pruhů a signálních pásů v rámci běžného dláždění pro chodce.     dodáváno včetně půlek (případně krajovek)</t>
  </si>
  <si>
    <t>Dlažba betonová s dist. sparami přírodní</t>
  </si>
  <si>
    <t>193-2</t>
  </si>
  <si>
    <t>;ztratné 1%; 1,91</t>
  </si>
  <si>
    <t>dlažba vhodná pro pochozí i pojezdové plochy  distanční nálisky vymezují spáry o šířce 30 mm  podíl zeleně činí 27,5 % plochy  vysoce pevnostní vibrolisovaná dvouvrstvá betonová dlažba s jemně prolamovaným povrchem  barevná provedení chráněna impregnací proti znečištění  možná zimní údržba solením  optimální poměr vrchní nášlapné a spodní jádrové vrstvy betonu zajišťuje maximální užitné vlastnosti, zejména:  vysokou pevnost  mrazuvzdornost a odolnost povrchu proti působení vody a chemických rozmrazovacích látek  nízkou obrusnost  dobré adhezní vlastnosti  tvoří-li lože dlažby standardní podkladní vrstvy a zatravňovací otvory jsou zaplněny drceným kamenivem, pojme dlážděný kryt z kamenů BEST - KROSO na ploše 1 hektaru 4 125 l vody za 1 vteřinu; v případě, že otvory jsou zaplněny substrátem pro osázení trávou, pojme takto dlážděný kryt na ploše 1 hektaru 550</t>
  </si>
  <si>
    <t>l vody za 1 vteřinu (tuto hodnotu je nutno brát jako odhad, důvodem je nestejná zrnitost a obsach prachových částic v substrátech, popř. zemině)</t>
  </si>
  <si>
    <t>Kladení zámkové dlažby tl. 8 cm do MC tl. 5 cm</t>
  </si>
  <si>
    <t>2,9   Hybešova, hmatová dlažba</t>
  </si>
  <si>
    <t>2,9</t>
  </si>
  <si>
    <t>;ztratné 1%; 0,029</t>
  </si>
  <si>
    <t>Tato užitečná specializovaná dlažba s výrazně tvarovaným povrchem HOLLAND SLP je určena jako doplněk ke všem typům zpevněných ploch tam, kde je nutno vést nevidomé a slabozraké spoluobčany určitým směrem, nebo je upozornit na změnu směru, přechod pro chodce, zastávku MHD, na vchod do budovy apod. Speciálně upravený povrch dlažby s výstupky je jednoznačně a nezaměnitelně zjistitelný hmatově – holí - i nášlapem, proto může pomoci při budování vodících pruhů a signálních pásů v rámci běžného dláždění pro chodce.  dodáváno včetně půlek (případně krajovek) Impregnace Protect System IN</t>
  </si>
  <si>
    <t>Řezání zámkové dlažby tl. 80 mm</t>
  </si>
  <si>
    <t>Příplatek za výplň spár veg. dlaždic, bez dodávky</t>
  </si>
  <si>
    <t>191*0,275*0,08   výplň spar distanční dlažby ornicí</t>
  </si>
  <si>
    <t>Doplňující konstrukce a práce na pozemních komunikacích a zpevněných plochách</t>
  </si>
  <si>
    <t>Osazení stojat. obrub.bet. s opěrou,lože z C 12/15</t>
  </si>
  <si>
    <t>138   Hybešova, silniční</t>
  </si>
  <si>
    <t>116   Hybešova, nájezdový</t>
  </si>
  <si>
    <t>3   Hybešova, chodníkový</t>
  </si>
  <si>
    <t>Osazení betonového silničního nebo chodníkového obrubníku.</t>
  </si>
  <si>
    <t>Obrubník parkový betonový 100x250x1000 mm</t>
  </si>
  <si>
    <t>;ztratné 1%; 0,03</t>
  </si>
  <si>
    <t>povrch základní</t>
  </si>
  <si>
    <t>Obrubník silniční betonový 150x250x1000 mm</t>
  </si>
  <si>
    <t>138</t>
  </si>
  <si>
    <t>;ztratné 1%; 1,38</t>
  </si>
  <si>
    <t>Obrubník nájezdový betonový 148,5x145x1000 mm</t>
  </si>
  <si>
    <t>116</t>
  </si>
  <si>
    <t>;ztratné 1%; 1,16</t>
  </si>
  <si>
    <t>Lože pod obrubníky nebo obruby dlažeb z C 12/15</t>
  </si>
  <si>
    <t>9,2   Hybešova</t>
  </si>
  <si>
    <t>Řezání stávajícího živičného krytu tl. 10 - 15 cm</t>
  </si>
  <si>
    <t>120   Hybešova</t>
  </si>
  <si>
    <t>V položce jsou zakalkulovány i náklady na spotřebu vody.</t>
  </si>
  <si>
    <t>Osaz.sloupku dopr.značky vč. bet.základu+Al patka</t>
  </si>
  <si>
    <t>1   Hybešova</t>
  </si>
  <si>
    <t>V položce započteno: výkop jamky s odhozem výkopku na vzdálenost do 3 m, osazení sloupku do monolitického betonového základu, osazení a montáž kotevní hliníkové patky, dodávka a osazení víčka ke sloupku.</t>
  </si>
  <si>
    <t>Osazení svislé dopr.značky na sloupek nebo konzolu</t>
  </si>
  <si>
    <t>2   Hybešova</t>
  </si>
  <si>
    <t>Včetně dodávky upevňovadel.</t>
  </si>
  <si>
    <t>Značka dopr inf IP 11-13 500/700 fól1, EG7letá</t>
  </si>
  <si>
    <t>Typy a provedení dopravního značení jsou v souladu s příslušným zákonem a vyhláškou č. 30/2001 Sb. a jsou schváleny Ministerstvem dopravy a spojů k používání na pozemních komunikacích.  EG - Enginner Grade - reflexní fólie tř. 1 HlG  -  Hight Intensity Grade - reflexní fólie tř. 2 IP - Informativní dopravní značka provozní  štít z pozinkovaného plechu s dvojitým ohybem okraje po celém obvodu značky retroreflexní fólie  I. třídy 3M EG nebo podobná, záruka 7 let</t>
  </si>
  <si>
    <t>Značka dopr dodat E1,2a,b 500/500 fól 1, EG 7letá</t>
  </si>
  <si>
    <t>Typy a provedení dopravního značení jsou v souladu s příslušným zákonem a vyhláškou č. 30/2001 Sb. a jsou schváleny Ministerstvem dopravy a spojů k používání na pozemních komunikacích.  E - Dopravní značka - dodatková tabulka EG - Enginner Grade - reflexní fólie tř. 1  štít z pozinkovaného plechu s dvojitým ohybem okraje po celém obvodu značky retroreflexní fólie  I. třídy 3M EG nebo podobná, záruka 7 let</t>
  </si>
  <si>
    <t>Vodorovné značení střík.barvou stopčar,zeber atd.</t>
  </si>
  <si>
    <t>1   Hybešova, symbol O1</t>
  </si>
  <si>
    <t>Prorážení otvorů a ostatní bourací práce</t>
  </si>
  <si>
    <t>Očištění vybour. dlaždic s výplní kamen. těženým</t>
  </si>
  <si>
    <t>Přesuny sutí</t>
  </si>
  <si>
    <t>Vodorovná doprava suti po suchu do 1 km</t>
  </si>
  <si>
    <t>34,8*0,33   živice</t>
  </si>
  <si>
    <t>44,5*0,33+23,2*0,66   kamenivo drcené</t>
  </si>
  <si>
    <t>Příplatek za dopravu suti po suchu za další 1 km</t>
  </si>
  <si>
    <t>41,481*9</t>
  </si>
  <si>
    <t>Vodorovná doprava vybour. hmot po suchu do 5 km</t>
  </si>
  <si>
    <t>132*0,145   obrubníky</t>
  </si>
  <si>
    <t>30,5*0,138   dlažba</t>
  </si>
  <si>
    <t>Příplatek k dopravě vybour.hmot za dalších 5 km</t>
  </si>
  <si>
    <t>Poplatek za skládku stavební suti</t>
  </si>
  <si>
    <t>29,997+23,349</t>
  </si>
  <si>
    <t>Poplatek za skládku suti - obalované kam. - asfalt</t>
  </si>
  <si>
    <t>11,484</t>
  </si>
  <si>
    <t>Položka je určena pro suť o velikosti kusu do 30x30 cm (technologický materiál určený k recyklaci). .</t>
  </si>
  <si>
    <t>Přesun hmot, pozemní komunikace, kryt živičný</t>
  </si>
  <si>
    <t>Doba výstavby:</t>
  </si>
  <si>
    <t>Začátek výstavby:</t>
  </si>
  <si>
    <t>Konec výstavby:</t>
  </si>
  <si>
    <t>Zpracováno dne:</t>
  </si>
  <si>
    <t> </t>
  </si>
  <si>
    <t>04.04.2018</t>
  </si>
  <si>
    <t>M.j.</t>
  </si>
  <si>
    <t>m2</t>
  </si>
  <si>
    <t>m</t>
  </si>
  <si>
    <t>m3</t>
  </si>
  <si>
    <t>kus</t>
  </si>
  <si>
    <t>t</t>
  </si>
  <si>
    <t>Množství</t>
  </si>
  <si>
    <t>Objednatel:</t>
  </si>
  <si>
    <t>Projektant:</t>
  </si>
  <si>
    <t>Zhotovitel:</t>
  </si>
  <si>
    <t>Zpracoval:</t>
  </si>
  <si>
    <t>Jednot.</t>
  </si>
  <si>
    <t>cena (Kč)</t>
  </si>
  <si>
    <t>Město Šlapanice</t>
  </si>
  <si>
    <t>Matula, projekční kancelář, Šumavská 15, Brno, 602</t>
  </si>
  <si>
    <t>Ing. Krejčíková</t>
  </si>
  <si>
    <t>Náklady (Kč)</t>
  </si>
  <si>
    <t>Dodávka</t>
  </si>
  <si>
    <t>Celkem:</t>
  </si>
  <si>
    <t>Montáž</t>
  </si>
  <si>
    <t>Celkem</t>
  </si>
  <si>
    <t>Cenová</t>
  </si>
  <si>
    <t>soustava</t>
  </si>
  <si>
    <t>RTS II / 2017</t>
  </si>
  <si>
    <t>RTS II / 2018</t>
  </si>
  <si>
    <t>RTS II / 2015</t>
  </si>
  <si>
    <t>RTS I / 2017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</si>
  <si>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</si>
  <si>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</si>
  <si>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</si>
  <si>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</si>
  <si>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</si>
  <si>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</si>
  <si>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</si>
  <si>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</si>
  <si>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</si>
  <si>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11_</t>
  </si>
  <si>
    <t>12_</t>
  </si>
  <si>
    <t>16_</t>
  </si>
  <si>
    <t>17_</t>
  </si>
  <si>
    <t>18_</t>
  </si>
  <si>
    <t>19_</t>
  </si>
  <si>
    <t>56_</t>
  </si>
  <si>
    <t>57_</t>
  </si>
  <si>
    <t>59_</t>
  </si>
  <si>
    <t>91_</t>
  </si>
  <si>
    <t>97_</t>
  </si>
  <si>
    <t>S_</t>
  </si>
  <si>
    <t>1_</t>
  </si>
  <si>
    <t>5_</t>
  </si>
  <si>
    <t>9_</t>
  </si>
  <si>
    <t>_</t>
  </si>
  <si>
    <t>MAT</t>
  </si>
  <si>
    <t>WORK</t>
  </si>
  <si>
    <t>CELK</t>
  </si>
  <si>
    <t>Slepý stavební rozpočet - rekapitulace</t>
  </si>
  <si>
    <t>Zkrácený popis</t>
  </si>
  <si>
    <t>Náklady (Kč) - dodávka</t>
  </si>
  <si>
    <t>Náklady (Kč) - Montáž</t>
  </si>
  <si>
    <t>Náklady (Kč) - celkem</t>
  </si>
  <si>
    <t>T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</si>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</sst>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16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i/>
      <sz val="10"/>
      <color indexed="58"/>
      <name val="Arial"/>
      <family val="0"/>
    </font>
    <font>
      <i/>
      <sz val="10"/>
      <color indexed="63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33">
    <xf numFmtId="0" fontId="1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NumberFormat="1" applyFont="1" applyFill="1" applyBorder="1" applyAlignment="1" applyProtection="1">
      <alignment horizontal="left" vertical="center"/>
      <protection/>
    </xf>
    <xf numFmtId="0" fontId="1" fillId="0" borderId="3" xfId="0" applyNumberFormat="1" applyFont="1" applyFill="1" applyBorder="1" applyAlignment="1" applyProtection="1">
      <alignment horizontal="left" vertical="center" wrapText="1"/>
      <protection/>
    </xf>
    <xf numFmtId="0" fontId="1" fillId="0" borderId="4" xfId="0" applyNumberFormat="1" applyFont="1" applyFill="1" applyBorder="1" applyAlignment="1" applyProtection="1">
      <alignment horizontal="left" vertical="center"/>
      <protection/>
    </xf>
    <xf numFmtId="49" fontId="3" fillId="0" borderId="5" xfId="0" applyNumberFormat="1" applyFont="1" applyFill="1" applyBorder="1" applyAlignment="1" applyProtection="1">
      <alignment horizontal="left" vertical="center"/>
      <protection/>
    </xf>
    <xf numFmtId="49" fontId="1" fillId="0" borderId="6" xfId="0" applyNumberFormat="1" applyFont="1" applyFill="1" applyBorder="1" applyAlignment="1" applyProtection="1">
      <alignment horizontal="left" vertical="center"/>
      <protection/>
    </xf>
    <xf numFmtId="49" fontId="4" fillId="2" borderId="7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2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1" xfId="0" applyNumberFormat="1" applyFont="1" applyFill="1" applyBorder="1" applyAlignment="1" applyProtection="1">
      <alignment horizontal="left" vertical="center"/>
      <protection/>
    </xf>
    <xf numFmtId="0" fontId="1" fillId="0" borderId="8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8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9" xfId="0" applyNumberFormat="1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8" fillId="2" borderId="7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right" vertical="top"/>
      <protection/>
    </xf>
    <xf numFmtId="49" fontId="8" fillId="2" borderId="0" xfId="0" applyNumberFormat="1" applyFont="1" applyFill="1" applyBorder="1" applyAlignment="1" applyProtection="1">
      <alignment horizontal="left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8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4" xfId="0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49" fontId="1" fillId="0" borderId="8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left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8" fillId="2" borderId="7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8" fillId="2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10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1" xfId="0" applyNumberFormat="1" applyFont="1" applyFill="1" applyBorder="1" applyAlignment="1" applyProtection="1">
      <alignment horizontal="right" vertical="center"/>
      <protection/>
    </xf>
    <xf numFmtId="0" fontId="1" fillId="0" borderId="8" xfId="0" applyNumberFormat="1" applyFont="1" applyFill="1" applyBorder="1" applyAlignment="1" applyProtection="1">
      <alignment horizontal="left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8" xfId="0" applyNumberFormat="1" applyFont="1" applyFill="1" applyBorder="1" applyAlignment="1" applyProtection="1">
      <alignment horizontal="left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9" fontId="8" fillId="2" borderId="7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8" fillId="2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1" xfId="0" applyNumberFormat="1" applyFont="1" applyFill="1" applyBorder="1" applyAlignment="1" applyProtection="1">
      <alignment horizontal="right" vertical="center"/>
      <protection/>
    </xf>
    <xf numFmtId="0" fontId="1" fillId="0" borderId="3" xfId="0" applyNumberFormat="1" applyFont="1" applyFill="1" applyBorder="1" applyAlignment="1" applyProtection="1">
      <alignment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2" borderId="7" xfId="0" applyNumberFormat="1" applyFont="1" applyFill="1" applyBorder="1" applyAlignment="1" applyProtection="1">
      <alignment horizontal="right" vertical="center"/>
      <protection/>
    </xf>
    <xf numFmtId="4" fontId="8" fillId="2" borderId="0" xfId="0" applyNumberFormat="1" applyFont="1" applyFill="1" applyBorder="1" applyAlignment="1" applyProtection="1">
      <alignment horizontal="right" vertical="center"/>
      <protection/>
    </xf>
    <xf numFmtId="4" fontId="3" fillId="0" borderId="8" xfId="0" applyNumberFormat="1" applyFont="1" applyFill="1" applyBorder="1" applyAlignment="1" applyProtection="1">
      <alignment horizontal="right" vertical="center"/>
      <protection/>
    </xf>
    <xf numFmtId="49" fontId="3" fillId="0" borderId="28" xfId="0" applyNumberFormat="1" applyFont="1" applyFill="1" applyBorder="1" applyAlignment="1" applyProtection="1">
      <alignment horizontal="left" vertical="center"/>
      <protection/>
    </xf>
    <xf numFmtId="49" fontId="1" fillId="0" borderId="7" xfId="0" applyNumberFormat="1" applyFont="1" applyFill="1" applyBorder="1" applyAlignment="1" applyProtection="1">
      <alignment horizontal="left" vertical="center"/>
      <protection/>
    </xf>
    <xf numFmtId="49" fontId="3" fillId="0" borderId="29" xfId="0" applyNumberFormat="1" applyFont="1" applyFill="1" applyBorder="1" applyAlignment="1" applyProtection="1">
      <alignment horizontal="left" vertical="center"/>
      <protection/>
    </xf>
    <xf numFmtId="0" fontId="3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7" xfId="0" applyNumberFormat="1" applyFont="1" applyFill="1" applyBorder="1" applyAlignment="1" applyProtection="1">
      <alignment horizontal="left" vertical="center"/>
      <protection/>
    </xf>
    <xf numFmtId="49" fontId="3" fillId="0" borderId="31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" fontId="1" fillId="0" borderId="7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" xfId="0" applyNumberFormat="1" applyFont="1" applyFill="1" applyBorder="1" applyAlignment="1" applyProtection="1">
      <alignment vertical="center"/>
      <protection/>
    </xf>
    <xf numFmtId="0" fontId="1" fillId="0" borderId="32" xfId="0" applyNumberFormat="1" applyFont="1" applyFill="1" applyBorder="1" applyAlignment="1" applyProtection="1">
      <alignment horizontal="left" vertical="center"/>
      <protection/>
    </xf>
    <xf numFmtId="49" fontId="11" fillId="0" borderId="33" xfId="0" applyNumberFormat="1" applyFont="1" applyFill="1" applyBorder="1" applyAlignment="1" applyProtection="1">
      <alignment horizontal="center" vertical="center"/>
      <protection/>
    </xf>
    <xf numFmtId="49" fontId="12" fillId="3" borderId="34" xfId="0" applyNumberFormat="1" applyFont="1" applyFill="1" applyBorder="1" applyAlignment="1" applyProtection="1">
      <alignment horizontal="center" vertical="center"/>
      <protection/>
    </xf>
    <xf numFmtId="49" fontId="13" fillId="0" borderId="35" xfId="0" applyNumberFormat="1" applyFont="1" applyFill="1" applyBorder="1" applyAlignment="1" applyProtection="1">
      <alignment horizontal="left" vertical="center"/>
      <protection/>
    </xf>
    <xf numFmtId="49" fontId="13" fillId="0" borderId="36" xfId="0" applyNumberFormat="1" applyFont="1" applyFill="1" applyBorder="1" applyAlignment="1" applyProtection="1">
      <alignment horizontal="left" vertical="center"/>
      <protection/>
    </xf>
    <xf numFmtId="49" fontId="13" fillId="0" borderId="37" xfId="0" applyNumberFormat="1" applyFont="1" applyFill="1" applyBorder="1" applyAlignment="1" applyProtection="1">
      <alignment horizontal="left" vertical="center"/>
      <protection/>
    </xf>
    <xf numFmtId="49" fontId="13" fillId="3" borderId="37" xfId="0" applyNumberFormat="1" applyFont="1" applyFill="1" applyBorder="1" applyAlignment="1" applyProtection="1">
      <alignment horizontal="left" vertical="center"/>
      <protection/>
    </xf>
    <xf numFmtId="0" fontId="1" fillId="0" borderId="38" xfId="0" applyNumberFormat="1" applyFont="1" applyFill="1" applyBorder="1" applyAlignment="1" applyProtection="1">
      <alignment vertical="center"/>
      <protection/>
    </xf>
    <xf numFmtId="49" fontId="14" fillId="0" borderId="39" xfId="0" applyNumberFormat="1" applyFont="1" applyFill="1" applyBorder="1" applyAlignment="1" applyProtection="1">
      <alignment horizontal="left" vertical="center"/>
      <protection/>
    </xf>
    <xf numFmtId="49" fontId="14" fillId="0" borderId="27" xfId="0" applyNumberFormat="1" applyFont="1" applyFill="1" applyBorder="1" applyAlignment="1" applyProtection="1">
      <alignment horizontal="left" vertical="center"/>
      <protection/>
    </xf>
    <xf numFmtId="49" fontId="14" fillId="0" borderId="40" xfId="0" applyNumberFormat="1" applyFont="1" applyFill="1" applyBorder="1" applyAlignment="1" applyProtection="1">
      <alignment horizontal="left" vertical="center"/>
      <protection/>
    </xf>
    <xf numFmtId="49" fontId="7" fillId="0" borderId="7" xfId="0" applyNumberFormat="1" applyFont="1" applyFill="1" applyBorder="1" applyAlignment="1" applyProtection="1">
      <alignment horizontal="left" vertical="center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0" fontId="11" fillId="0" borderId="33" xfId="0" applyNumberFormat="1" applyFont="1" applyFill="1" applyBorder="1" applyAlignment="1" applyProtection="1">
      <alignment horizontal="center" vertical="center"/>
      <protection/>
    </xf>
    <xf numFmtId="49" fontId="15" fillId="0" borderId="37" xfId="0" applyNumberFormat="1" applyFont="1" applyFill="1" applyBorder="1" applyAlignment="1" applyProtection="1">
      <alignment horizontal="left" vertical="center"/>
      <protection/>
    </xf>
    <xf numFmtId="49" fontId="14" fillId="0" borderId="34" xfId="0" applyNumberFormat="1" applyFont="1" applyFill="1" applyBorder="1" applyAlignment="1" applyProtection="1">
      <alignment horizontal="left" vertical="center"/>
      <protection/>
    </xf>
    <xf numFmtId="0" fontId="13" fillId="0" borderId="41" xfId="0" applyNumberFormat="1" applyFont="1" applyFill="1" applyBorder="1" applyAlignment="1" applyProtection="1">
      <alignment horizontal="left" vertical="center"/>
      <protection/>
    </xf>
    <xf numFmtId="0" fontId="13" fillId="3" borderId="33" xfId="0" applyNumberFormat="1" applyFont="1" applyFill="1" applyBorder="1" applyAlignment="1" applyProtection="1">
      <alignment horizontal="left" vertical="center"/>
      <protection/>
    </xf>
    <xf numFmtId="0" fontId="14" fillId="0" borderId="7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9" xfId="0" applyNumberFormat="1" applyFont="1" applyFill="1" applyBorder="1" applyAlignment="1" applyProtection="1">
      <alignment horizontal="left" vertical="center"/>
      <protection/>
    </xf>
    <xf numFmtId="0" fontId="1" fillId="0" borderId="7" xfId="0" applyNumberFormat="1" applyFont="1" applyFill="1" applyBorder="1" applyAlignment="1" applyProtection="1">
      <alignment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15" fillId="0" borderId="41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0" fontId="14" fillId="0" borderId="42" xfId="0" applyNumberFormat="1" applyFont="1" applyFill="1" applyBorder="1" applyAlignment="1" applyProtection="1">
      <alignment horizontal="left" vertical="center"/>
      <protection/>
    </xf>
    <xf numFmtId="0" fontId="14" fillId="0" borderId="43" xfId="0" applyNumberFormat="1" applyFont="1" applyFill="1" applyBorder="1" applyAlignment="1" applyProtection="1">
      <alignment horizontal="left" vertical="center"/>
      <protection/>
    </xf>
    <xf numFmtId="0" fontId="14" fillId="0" borderId="44" xfId="0" applyNumberFormat="1" applyFont="1" applyFill="1" applyBorder="1" applyAlignment="1" applyProtection="1">
      <alignment horizontal="left" vertical="center"/>
      <protection/>
    </xf>
    <xf numFmtId="49" fontId="14" fillId="0" borderId="37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0" fontId="14" fillId="0" borderId="41" xfId="0" applyNumberFormat="1" applyFont="1" applyFill="1" applyBorder="1" applyAlignment="1" applyProtection="1">
      <alignment horizontal="left" vertical="center"/>
      <protection/>
    </xf>
    <xf numFmtId="4" fontId="14" fillId="0" borderId="34" xfId="0" applyNumberFormat="1" applyFont="1" applyFill="1" applyBorder="1" applyAlignment="1" applyProtection="1">
      <alignment horizontal="right" vertical="center"/>
      <protection/>
    </xf>
    <xf numFmtId="49" fontId="14" fillId="0" borderId="34" xfId="0" applyNumberFormat="1" applyFont="1" applyFill="1" applyBorder="1" applyAlignment="1" applyProtection="1">
      <alignment horizontal="right" vertical="center"/>
      <protection/>
    </xf>
    <xf numFmtId="4" fontId="14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49" fontId="1" fillId="0" borderId="23" xfId="0" applyNumberFormat="1" applyFont="1" applyFill="1" applyBorder="1" applyAlignment="1" applyProtection="1">
      <alignment horizontal="left" vertical="center"/>
      <protection/>
    </xf>
    <xf numFmtId="49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45" xfId="0" applyNumberFormat="1" applyFont="1" applyFill="1" applyBorder="1" applyAlignment="1" applyProtection="1">
      <alignment horizontal="left" vertical="center"/>
      <protection/>
    </xf>
    <xf numFmtId="0" fontId="1" fillId="0" borderId="37" xfId="0" applyNumberFormat="1" applyFont="1" applyFill="1" applyBorder="1" applyAlignment="1" applyProtection="1">
      <alignment vertical="center"/>
      <protection/>
    </xf>
    <xf numFmtId="4" fontId="13" fillId="3" borderId="41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" xfId="0" applyNumberFormat="1" applyFont="1" applyFill="1" applyBorder="1" applyAlignment="1" applyProtection="1">
      <alignment/>
      <protection/>
    </xf>
    <xf numFmtId="49" fontId="2" fillId="0" borderId="1" xfId="0" applyNumberFormat="1" applyFont="1" applyFill="1" applyBorder="1" applyAlignment="1" applyProtection="1">
      <alignment horizont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657225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157"/>
  <sheetViews>
    <sheetView tabSelected="1" workbookViewId="0" topLeftCell="A1">
      <pane ySplit="11" topLeftCell="A12" activePane="bottomLeft" state="frozen"/>
      <selection pane="bottomLeft" activeCell="A1" sqref="A1:L1"/>
    </sheetView>
  </sheetViews>
  <sheetFormatPr defaultColWidth="11.57421875" defaultRowHeight="12.75"/>
  <cols>
    <col min="1" max="1" width="3.7109375" customWidth="1"/>
    <col min="2" max="2" width="14.28125" customWidth="1"/>
    <col min="3" max="3" width="47.140625" customWidth="1"/>
    <col min="6" max="6" width="4.28125" customWidth="1"/>
    <col min="7" max="7" width="12.8515625" customWidth="1"/>
    <col min="8" max="8" width="12.00390625" customWidth="1"/>
    <col min="9" max="11" width="14.28125" customWidth="1"/>
    <col min="12" max="12" width="11.7109375" customWidth="1"/>
    <col min="25" max="62" width="12.140625" hidden="1" customWidth="1"/>
  </cols>
  <sheetData>
    <row r="1" spans="1:12" ht="72.75" customHeight="1">
      <c r="A1" s="132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3" ht="12.75">
      <c r="A2" s="3" t="s">
        <v>1</v>
      </c>
      <c r="B2" s="18"/>
      <c r="C2" s="26" t="s">
        <v>115</v>
      </c>
      <c r="D2" s="33" t="s">
        <v>256</v>
      </c>
      <c r="E2" s="18"/>
      <c r="F2" s="33" t="s">
        <v>6</v>
      </c>
      <c r="G2" s="18"/>
      <c r="H2" s="51" t="s">
        <v>269</v>
      </c>
      <c r="I2" s="51" t="s">
        <v>275</v>
      </c>
      <c r="J2" s="18"/>
      <c r="K2" s="18"/>
      <c r="L2" s="62"/>
      <c r="M2" s="72"/>
    </row>
    <row r="3" spans="1:13" ht="12.75">
      <c r="A3" s="4"/>
      <c r="B3" s="19"/>
      <c r="C3" s="27"/>
      <c r="D3" s="19"/>
      <c r="E3" s="19"/>
      <c r="F3" s="19"/>
      <c r="G3" s="19"/>
      <c r="H3" s="19"/>
      <c r="I3" s="19"/>
      <c r="J3" s="19"/>
      <c r="K3" s="19"/>
      <c r="L3" s="63"/>
      <c r="M3" s="72"/>
    </row>
    <row r="4" spans="1:13" ht="12.75">
      <c r="A4" s="5" t="s">
        <v>2</v>
      </c>
      <c r="B4" s="19"/>
      <c r="C4" s="16" t="s">
        <v>116</v>
      </c>
      <c r="D4" s="34" t="s">
        <v>257</v>
      </c>
      <c r="E4" s="19"/>
      <c r="F4" s="34" t="s">
        <v>260</v>
      </c>
      <c r="G4" s="19"/>
      <c r="H4" s="16" t="s">
        <v>270</v>
      </c>
      <c r="I4" s="16" t="s">
        <v>276</v>
      </c>
      <c r="J4" s="19"/>
      <c r="K4" s="19"/>
      <c r="L4" s="63"/>
      <c r="M4" s="72"/>
    </row>
    <row r="5" spans="1:13" ht="12.75">
      <c r="A5" s="4"/>
      <c r="B5" s="19"/>
      <c r="C5" s="19"/>
      <c r="D5" s="19"/>
      <c r="E5" s="19"/>
      <c r="F5" s="19"/>
      <c r="G5" s="19"/>
      <c r="H5" s="19"/>
      <c r="I5" s="19"/>
      <c r="J5" s="19"/>
      <c r="K5" s="19"/>
      <c r="L5" s="63"/>
      <c r="M5" s="72"/>
    </row>
    <row r="6" spans="1:13" ht="12.75">
      <c r="A6" s="5" t="s">
        <v>3</v>
      </c>
      <c r="B6" s="19"/>
      <c r="C6" s="16" t="s">
        <v>117</v>
      </c>
      <c r="D6" s="34" t="s">
        <v>258</v>
      </c>
      <c r="E6" s="19"/>
      <c r="F6" s="34" t="s">
        <v>260</v>
      </c>
      <c r="G6" s="19"/>
      <c r="H6" s="16" t="s">
        <v>271</v>
      </c>
      <c r="I6" s="28">
        <v>0</v>
      </c>
      <c r="J6" s="19"/>
      <c r="K6" s="19"/>
      <c r="L6" s="63"/>
      <c r="M6" s="72"/>
    </row>
    <row r="7" spans="1:13" ht="12.75">
      <c r="A7" s="4"/>
      <c r="B7" s="19"/>
      <c r="C7" s="19"/>
      <c r="D7" s="19"/>
      <c r="E7" s="19"/>
      <c r="F7" s="19"/>
      <c r="G7" s="19"/>
      <c r="H7" s="19"/>
      <c r="I7" s="19"/>
      <c r="J7" s="19"/>
      <c r="K7" s="19"/>
      <c r="L7" s="63"/>
      <c r="M7" s="72"/>
    </row>
    <row r="8" spans="1:13" ht="12.75">
      <c r="A8" s="5" t="s">
        <v>4</v>
      </c>
      <c r="B8" s="19"/>
      <c r="C8" s="28">
        <v>0</v>
      </c>
      <c r="D8" s="34" t="s">
        <v>259</v>
      </c>
      <c r="E8" s="19"/>
      <c r="F8" s="34" t="s">
        <v>261</v>
      </c>
      <c r="G8" s="19"/>
      <c r="H8" s="16" t="s">
        <v>272</v>
      </c>
      <c r="I8" s="16" t="s">
        <v>277</v>
      </c>
      <c r="J8" s="19"/>
      <c r="K8" s="19"/>
      <c r="L8" s="63"/>
      <c r="M8" s="72"/>
    </row>
    <row r="9" spans="1:13" ht="12.75">
      <c r="A9" s="6"/>
      <c r="B9" s="20"/>
      <c r="C9" s="20"/>
      <c r="D9" s="20"/>
      <c r="E9" s="20"/>
      <c r="F9" s="20"/>
      <c r="G9" s="20"/>
      <c r="H9" s="20"/>
      <c r="I9" s="20"/>
      <c r="J9" s="20"/>
      <c r="K9" s="20"/>
      <c r="L9" s="64"/>
      <c r="M9" s="72"/>
    </row>
    <row r="10" spans="1:13" ht="12.75">
      <c r="A10" s="7" t="s">
        <v>5</v>
      </c>
      <c r="B10" s="21" t="s">
        <v>58</v>
      </c>
      <c r="C10" s="29" t="s">
        <v>118</v>
      </c>
      <c r="D10" s="35"/>
      <c r="E10" s="44"/>
      <c r="F10" s="21" t="s">
        <v>262</v>
      </c>
      <c r="G10" s="46" t="s">
        <v>268</v>
      </c>
      <c r="H10" s="52" t="s">
        <v>273</v>
      </c>
      <c r="I10" s="54" t="s">
        <v>278</v>
      </c>
      <c r="J10" s="57"/>
      <c r="K10" s="60"/>
      <c r="L10" s="65" t="s">
        <v>283</v>
      </c>
      <c r="M10" s="73"/>
    </row>
    <row r="11" spans="1:62" ht="12.75">
      <c r="A11" s="8" t="s">
        <v>6</v>
      </c>
      <c r="B11" s="22" t="s">
        <v>6</v>
      </c>
      <c r="C11" s="30" t="s">
        <v>119</v>
      </c>
      <c r="D11" s="36"/>
      <c r="E11" s="45"/>
      <c r="F11" s="22" t="s">
        <v>6</v>
      </c>
      <c r="G11" s="22" t="s">
        <v>6</v>
      </c>
      <c r="H11" s="53" t="s">
        <v>274</v>
      </c>
      <c r="I11" s="55" t="s">
        <v>279</v>
      </c>
      <c r="J11" s="58" t="s">
        <v>281</v>
      </c>
      <c r="K11" s="61" t="s">
        <v>282</v>
      </c>
      <c r="L11" s="66" t="s">
        <v>284</v>
      </c>
      <c r="M11" s="73"/>
      <c r="Z11" s="69" t="s">
        <v>289</v>
      </c>
      <c r="AA11" s="69" t="s">
        <v>290</v>
      </c>
      <c r="AB11" s="69" t="s">
        <v>291</v>
      </c>
      <c r="AC11" s="69" t="s">
        <v>292</v>
      </c>
      <c r="AD11" s="69" t="s">
        <v>293</v>
      </c>
      <c r="AE11" s="69" t="s">
        <v>294</v>
      </c>
      <c r="AF11" s="69" t="s">
        <v>295</v>
      </c>
      <c r="AG11" s="69" t="s">
        <v>296</v>
      </c>
      <c r="AH11" s="69" t="s">
        <v>297</v>
      </c>
      <c r="BH11" s="69" t="s">
        <v>314</v>
      </c>
      <c r="BI11" s="69" t="s">
        <v>315</v>
      </c>
      <c r="BJ11" s="69" t="s">
        <v>316</v>
      </c>
    </row>
    <row r="12" spans="1:47" ht="12.75">
      <c r="A12" s="9"/>
      <c r="B12" s="23" t="s">
        <v>17</v>
      </c>
      <c r="C12" s="23" t="s">
        <v>120</v>
      </c>
      <c r="D12" s="37"/>
      <c r="E12" s="37"/>
      <c r="F12" s="9" t="s">
        <v>6</v>
      </c>
      <c r="G12" s="9" t="s">
        <v>6</v>
      </c>
      <c r="H12" s="9" t="s">
        <v>6</v>
      </c>
      <c r="I12" s="76">
        <f>SUM(I13:I25)</f>
        <v>0</v>
      </c>
      <c r="J12" s="76">
        <f>SUM(J13:J25)</f>
        <v>0</v>
      </c>
      <c r="K12" s="76">
        <f>SUM(K13:K25)</f>
        <v>0</v>
      </c>
      <c r="L12" s="67"/>
      <c r="AI12" s="69"/>
      <c r="AS12" s="77">
        <f>SUM(AJ13:AJ25)</f>
        <v>0</v>
      </c>
      <c r="AT12" s="77">
        <f>SUM(AK13:AK25)</f>
        <v>0</v>
      </c>
      <c r="AU12" s="77">
        <f>SUM(AL13:AL25)</f>
        <v>0</v>
      </c>
    </row>
    <row r="13" spans="1:62" ht="12.75">
      <c r="A13" s="10" t="s">
        <v>7</v>
      </c>
      <c r="B13" s="10" t="s">
        <v>59</v>
      </c>
      <c r="C13" s="10" t="s">
        <v>121</v>
      </c>
      <c r="D13" s="38"/>
      <c r="E13" s="38"/>
      <c r="F13" s="10" t="s">
        <v>263</v>
      </c>
      <c r="G13" s="47">
        <v>44.5</v>
      </c>
      <c r="H13" s="47">
        <v>0</v>
      </c>
      <c r="I13" s="47">
        <f>G13*AO13</f>
        <v>0</v>
      </c>
      <c r="J13" s="47">
        <f>G13*AP13</f>
        <v>0</v>
      </c>
      <c r="K13" s="47">
        <f>G13*H13</f>
        <v>0</v>
      </c>
      <c r="L13" s="68" t="s">
        <v>285</v>
      </c>
      <c r="Z13" s="74">
        <f>IF(AQ13="5",BJ13,0)</f>
        <v>0</v>
      </c>
      <c r="AB13" s="74">
        <f>IF(AQ13="1",BH13,0)</f>
        <v>0</v>
      </c>
      <c r="AC13" s="74">
        <f>IF(AQ13="1",BI13,0)</f>
        <v>0</v>
      </c>
      <c r="AD13" s="74">
        <f>IF(AQ13="7",BH13,0)</f>
        <v>0</v>
      </c>
      <c r="AE13" s="74">
        <f>IF(AQ13="7",BI13,0)</f>
        <v>0</v>
      </c>
      <c r="AF13" s="74">
        <f>IF(AQ13="2",BH13,0)</f>
        <v>0</v>
      </c>
      <c r="AG13" s="74">
        <f>IF(AQ13="2",BI13,0)</f>
        <v>0</v>
      </c>
      <c r="AH13" s="74">
        <f>IF(AQ13="0",BJ13,0)</f>
        <v>0</v>
      </c>
      <c r="AI13" s="69"/>
      <c r="AJ13" s="47">
        <f>IF(AN13=0,K13,0)</f>
        <v>0</v>
      </c>
      <c r="AK13" s="47">
        <f>IF(AN13=15,K13,0)</f>
        <v>0</v>
      </c>
      <c r="AL13" s="47">
        <f>IF(AN13=21,K13,0)</f>
        <v>0</v>
      </c>
      <c r="AN13" s="74">
        <v>21</v>
      </c>
      <c r="AO13" s="74">
        <f>H13*0</f>
        <v>0</v>
      </c>
      <c r="AP13" s="74">
        <f>H13*(1-0)</f>
        <v>0</v>
      </c>
      <c r="AQ13" s="68" t="s">
        <v>7</v>
      </c>
      <c r="AV13" s="74">
        <f>AW13+AX13</f>
        <v>0</v>
      </c>
      <c r="AW13" s="74">
        <f>G13*AO13</f>
        <v>0</v>
      </c>
      <c r="AX13" s="74">
        <f>G13*AP13</f>
        <v>0</v>
      </c>
      <c r="AY13" s="75" t="s">
        <v>298</v>
      </c>
      <c r="AZ13" s="75" t="s">
        <v>310</v>
      </c>
      <c r="BA13" s="69" t="s">
        <v>313</v>
      </c>
      <c r="BC13" s="74">
        <f>AW13+AX13</f>
        <v>0</v>
      </c>
      <c r="BD13" s="74">
        <f>H13/(100-BE13)*100</f>
        <v>0</v>
      </c>
      <c r="BE13" s="74">
        <v>0</v>
      </c>
      <c r="BF13" s="74">
        <f>13</f>
        <v>13</v>
      </c>
      <c r="BH13" s="47">
        <f>G13*AO13</f>
        <v>0</v>
      </c>
      <c r="BI13" s="47">
        <f>G13*AP13</f>
        <v>0</v>
      </c>
      <c r="BJ13" s="47">
        <f>G13*H13</f>
        <v>0</v>
      </c>
    </row>
    <row r="14" spans="3:7" ht="12.75">
      <c r="C14" s="31" t="s">
        <v>122</v>
      </c>
      <c r="D14" s="39"/>
      <c r="E14" s="39"/>
      <c r="G14" s="48">
        <v>30.5</v>
      </c>
    </row>
    <row r="15" spans="3:7" ht="12.75">
      <c r="C15" s="31" t="s">
        <v>123</v>
      </c>
      <c r="D15" s="39"/>
      <c r="E15" s="39"/>
      <c r="G15" s="48">
        <v>14</v>
      </c>
    </row>
    <row r="16" spans="2:12" ht="25.5" customHeight="1">
      <c r="B16" s="24" t="s">
        <v>60</v>
      </c>
      <c r="C16" s="32" t="s">
        <v>124</v>
      </c>
      <c r="D16" s="40"/>
      <c r="E16" s="40"/>
      <c r="F16" s="40"/>
      <c r="G16" s="40"/>
      <c r="H16" s="40"/>
      <c r="I16" s="40"/>
      <c r="J16" s="40"/>
      <c r="K16" s="40"/>
      <c r="L16" s="40"/>
    </row>
    <row r="17" spans="1:62" ht="12.75">
      <c r="A17" s="10" t="s">
        <v>8</v>
      </c>
      <c r="B17" s="10" t="s">
        <v>61</v>
      </c>
      <c r="C17" s="10" t="s">
        <v>125</v>
      </c>
      <c r="D17" s="38"/>
      <c r="E17" s="38"/>
      <c r="F17" s="10" t="s">
        <v>263</v>
      </c>
      <c r="G17" s="47">
        <v>44.5</v>
      </c>
      <c r="H17" s="47">
        <v>0</v>
      </c>
      <c r="I17" s="47">
        <f>G17*AO17</f>
        <v>0</v>
      </c>
      <c r="J17" s="47">
        <f>G17*AP17</f>
        <v>0</v>
      </c>
      <c r="K17" s="47">
        <f>G17*H17</f>
        <v>0</v>
      </c>
      <c r="L17" s="68" t="s">
        <v>285</v>
      </c>
      <c r="Z17" s="74">
        <f>IF(AQ17="5",BJ17,0)</f>
        <v>0</v>
      </c>
      <c r="AB17" s="74">
        <f>IF(AQ17="1",BH17,0)</f>
        <v>0</v>
      </c>
      <c r="AC17" s="74">
        <f>IF(AQ17="1",BI17,0)</f>
        <v>0</v>
      </c>
      <c r="AD17" s="74">
        <f>IF(AQ17="7",BH17,0)</f>
        <v>0</v>
      </c>
      <c r="AE17" s="74">
        <f>IF(AQ17="7",BI17,0)</f>
        <v>0</v>
      </c>
      <c r="AF17" s="74">
        <f>IF(AQ17="2",BH17,0)</f>
        <v>0</v>
      </c>
      <c r="AG17" s="74">
        <f>IF(AQ17="2",BI17,0)</f>
        <v>0</v>
      </c>
      <c r="AH17" s="74">
        <f>IF(AQ17="0",BJ17,0)</f>
        <v>0</v>
      </c>
      <c r="AI17" s="69"/>
      <c r="AJ17" s="47">
        <f>IF(AN17=0,K17,0)</f>
        <v>0</v>
      </c>
      <c r="AK17" s="47">
        <f>IF(AN17=15,K17,0)</f>
        <v>0</v>
      </c>
      <c r="AL17" s="47">
        <f>IF(AN17=21,K17,0)</f>
        <v>0</v>
      </c>
      <c r="AN17" s="74">
        <v>21</v>
      </c>
      <c r="AO17" s="74">
        <f>H17*0</f>
        <v>0</v>
      </c>
      <c r="AP17" s="74">
        <f>H17*(1-0)</f>
        <v>0</v>
      </c>
      <c r="AQ17" s="68" t="s">
        <v>7</v>
      </c>
      <c r="AV17" s="74">
        <f>AW17+AX17</f>
        <v>0</v>
      </c>
      <c r="AW17" s="74">
        <f>G17*AO17</f>
        <v>0</v>
      </c>
      <c r="AX17" s="74">
        <f>G17*AP17</f>
        <v>0</v>
      </c>
      <c r="AY17" s="75" t="s">
        <v>298</v>
      </c>
      <c r="AZ17" s="75" t="s">
        <v>310</v>
      </c>
      <c r="BA17" s="69" t="s">
        <v>313</v>
      </c>
      <c r="BC17" s="74">
        <f>AW17+AX17</f>
        <v>0</v>
      </c>
      <c r="BD17" s="74">
        <f>H17/(100-BE17)*100</f>
        <v>0</v>
      </c>
      <c r="BE17" s="74">
        <v>0</v>
      </c>
      <c r="BF17" s="74">
        <f>17</f>
        <v>17</v>
      </c>
      <c r="BH17" s="47">
        <f>G17*AO17</f>
        <v>0</v>
      </c>
      <c r="BI17" s="47">
        <f>G17*AP17</f>
        <v>0</v>
      </c>
      <c r="BJ17" s="47">
        <f>G17*H17</f>
        <v>0</v>
      </c>
    </row>
    <row r="18" spans="3:7" ht="12.75">
      <c r="C18" s="31" t="s">
        <v>126</v>
      </c>
      <c r="D18" s="39"/>
      <c r="E18" s="39"/>
      <c r="G18" s="48">
        <v>44.5</v>
      </c>
    </row>
    <row r="19" spans="2:12" ht="25.5" customHeight="1">
      <c r="B19" s="24" t="s">
        <v>60</v>
      </c>
      <c r="C19" s="32" t="s">
        <v>127</v>
      </c>
      <c r="D19" s="40"/>
      <c r="E19" s="40"/>
      <c r="F19" s="40"/>
      <c r="G19" s="40"/>
      <c r="H19" s="40"/>
      <c r="I19" s="40"/>
      <c r="J19" s="40"/>
      <c r="K19" s="40"/>
      <c r="L19" s="40"/>
    </row>
    <row r="20" spans="1:62" ht="12.75">
      <c r="A20" s="10" t="s">
        <v>9</v>
      </c>
      <c r="B20" s="10" t="s">
        <v>62</v>
      </c>
      <c r="C20" s="10" t="s">
        <v>128</v>
      </c>
      <c r="D20" s="38"/>
      <c r="E20" s="38"/>
      <c r="F20" s="10" t="s">
        <v>263</v>
      </c>
      <c r="G20" s="47">
        <v>23.2</v>
      </c>
      <c r="H20" s="47">
        <v>0</v>
      </c>
      <c r="I20" s="47">
        <f>G20*AO20</f>
        <v>0</v>
      </c>
      <c r="J20" s="47">
        <f>G20*AP20</f>
        <v>0</v>
      </c>
      <c r="K20" s="47">
        <f>G20*H20</f>
        <v>0</v>
      </c>
      <c r="L20" s="68" t="s">
        <v>285</v>
      </c>
      <c r="Z20" s="74">
        <f>IF(AQ20="5",BJ20,0)</f>
        <v>0</v>
      </c>
      <c r="AB20" s="74">
        <f>IF(AQ20="1",BH20,0)</f>
        <v>0</v>
      </c>
      <c r="AC20" s="74">
        <f>IF(AQ20="1",BI20,0)</f>
        <v>0</v>
      </c>
      <c r="AD20" s="74">
        <f>IF(AQ20="7",BH20,0)</f>
        <v>0</v>
      </c>
      <c r="AE20" s="74">
        <f>IF(AQ20="7",BI20,0)</f>
        <v>0</v>
      </c>
      <c r="AF20" s="74">
        <f>IF(AQ20="2",BH20,0)</f>
        <v>0</v>
      </c>
      <c r="AG20" s="74">
        <f>IF(AQ20="2",BI20,0)</f>
        <v>0</v>
      </c>
      <c r="AH20" s="74">
        <f>IF(AQ20="0",BJ20,0)</f>
        <v>0</v>
      </c>
      <c r="AI20" s="69"/>
      <c r="AJ20" s="47">
        <f>IF(AN20=0,K20,0)</f>
        <v>0</v>
      </c>
      <c r="AK20" s="47">
        <f>IF(AN20=15,K20,0)</f>
        <v>0</v>
      </c>
      <c r="AL20" s="47">
        <f>IF(AN20=21,K20,0)</f>
        <v>0</v>
      </c>
      <c r="AN20" s="74">
        <v>21</v>
      </c>
      <c r="AO20" s="74">
        <f>H20*0</f>
        <v>0</v>
      </c>
      <c r="AP20" s="74">
        <f>H20*(1-0)</f>
        <v>0</v>
      </c>
      <c r="AQ20" s="68" t="s">
        <v>7</v>
      </c>
      <c r="AV20" s="74">
        <f>AW20+AX20</f>
        <v>0</v>
      </c>
      <c r="AW20" s="74">
        <f>G20*AO20</f>
        <v>0</v>
      </c>
      <c r="AX20" s="74">
        <f>G20*AP20</f>
        <v>0</v>
      </c>
      <c r="AY20" s="75" t="s">
        <v>298</v>
      </c>
      <c r="AZ20" s="75" t="s">
        <v>310</v>
      </c>
      <c r="BA20" s="69" t="s">
        <v>313</v>
      </c>
      <c r="BC20" s="74">
        <f>AW20+AX20</f>
        <v>0</v>
      </c>
      <c r="BD20" s="74">
        <f>H20/(100-BE20)*100</f>
        <v>0</v>
      </c>
      <c r="BE20" s="74">
        <v>0</v>
      </c>
      <c r="BF20" s="74">
        <f>20</f>
        <v>20</v>
      </c>
      <c r="BH20" s="47">
        <f>G20*AO20</f>
        <v>0</v>
      </c>
      <c r="BI20" s="47">
        <f>G20*AP20</f>
        <v>0</v>
      </c>
      <c r="BJ20" s="47">
        <f>G20*H20</f>
        <v>0</v>
      </c>
    </row>
    <row r="21" spans="3:7" ht="12.75">
      <c r="C21" s="31" t="s">
        <v>129</v>
      </c>
      <c r="D21" s="39"/>
      <c r="E21" s="39"/>
      <c r="G21" s="48">
        <v>23.2</v>
      </c>
    </row>
    <row r="22" spans="2:12" ht="25.5" customHeight="1">
      <c r="B22" s="24" t="s">
        <v>60</v>
      </c>
      <c r="C22" s="32" t="s">
        <v>127</v>
      </c>
      <c r="D22" s="40"/>
      <c r="E22" s="40"/>
      <c r="F22" s="40"/>
      <c r="G22" s="40"/>
      <c r="H22" s="40"/>
      <c r="I22" s="40"/>
      <c r="J22" s="40"/>
      <c r="K22" s="40"/>
      <c r="L22" s="40"/>
    </row>
    <row r="23" spans="1:62" ht="12.75">
      <c r="A23" s="10" t="s">
        <v>10</v>
      </c>
      <c r="B23" s="10" t="s">
        <v>63</v>
      </c>
      <c r="C23" s="10" t="s">
        <v>130</v>
      </c>
      <c r="D23" s="38"/>
      <c r="E23" s="38"/>
      <c r="F23" s="10" t="s">
        <v>263</v>
      </c>
      <c r="G23" s="47">
        <v>34.8</v>
      </c>
      <c r="H23" s="47">
        <v>0</v>
      </c>
      <c r="I23" s="47">
        <f>G23*AO23</f>
        <v>0</v>
      </c>
      <c r="J23" s="47">
        <f>G23*AP23</f>
        <v>0</v>
      </c>
      <c r="K23" s="47">
        <f>G23*H23</f>
        <v>0</v>
      </c>
      <c r="L23" s="68" t="s">
        <v>285</v>
      </c>
      <c r="Z23" s="74">
        <f>IF(AQ23="5",BJ23,0)</f>
        <v>0</v>
      </c>
      <c r="AB23" s="74">
        <f>IF(AQ23="1",BH23,0)</f>
        <v>0</v>
      </c>
      <c r="AC23" s="74">
        <f>IF(AQ23="1",BI23,0)</f>
        <v>0</v>
      </c>
      <c r="AD23" s="74">
        <f>IF(AQ23="7",BH23,0)</f>
        <v>0</v>
      </c>
      <c r="AE23" s="74">
        <f>IF(AQ23="7",BI23,0)</f>
        <v>0</v>
      </c>
      <c r="AF23" s="74">
        <f>IF(AQ23="2",BH23,0)</f>
        <v>0</v>
      </c>
      <c r="AG23" s="74">
        <f>IF(AQ23="2",BI23,0)</f>
        <v>0</v>
      </c>
      <c r="AH23" s="74">
        <f>IF(AQ23="0",BJ23,0)</f>
        <v>0</v>
      </c>
      <c r="AI23" s="69"/>
      <c r="AJ23" s="47">
        <f>IF(AN23=0,K23,0)</f>
        <v>0</v>
      </c>
      <c r="AK23" s="47">
        <f>IF(AN23=15,K23,0)</f>
        <v>0</v>
      </c>
      <c r="AL23" s="47">
        <f>IF(AN23=21,K23,0)</f>
        <v>0</v>
      </c>
      <c r="AN23" s="74">
        <v>21</v>
      </c>
      <c r="AO23" s="74">
        <f>H23*0</f>
        <v>0</v>
      </c>
      <c r="AP23" s="74">
        <f>H23*(1-0)</f>
        <v>0</v>
      </c>
      <c r="AQ23" s="68" t="s">
        <v>7</v>
      </c>
      <c r="AV23" s="74">
        <f>AW23+AX23</f>
        <v>0</v>
      </c>
      <c r="AW23" s="74">
        <f>G23*AO23</f>
        <v>0</v>
      </c>
      <c r="AX23" s="74">
        <f>G23*AP23</f>
        <v>0</v>
      </c>
      <c r="AY23" s="75" t="s">
        <v>298</v>
      </c>
      <c r="AZ23" s="75" t="s">
        <v>310</v>
      </c>
      <c r="BA23" s="69" t="s">
        <v>313</v>
      </c>
      <c r="BC23" s="74">
        <f>AW23+AX23</f>
        <v>0</v>
      </c>
      <c r="BD23" s="74">
        <f>H23/(100-BE23)*100</f>
        <v>0</v>
      </c>
      <c r="BE23" s="74">
        <v>0</v>
      </c>
      <c r="BF23" s="74">
        <f>23</f>
        <v>23</v>
      </c>
      <c r="BH23" s="47">
        <f>G23*AO23</f>
        <v>0</v>
      </c>
      <c r="BI23" s="47">
        <f>G23*AP23</f>
        <v>0</v>
      </c>
      <c r="BJ23" s="47">
        <f>G23*H23</f>
        <v>0</v>
      </c>
    </row>
    <row r="24" spans="3:7" ht="12.75">
      <c r="C24" s="31" t="s">
        <v>131</v>
      </c>
      <c r="D24" s="39"/>
      <c r="E24" s="39"/>
      <c r="G24" s="48">
        <v>34.8</v>
      </c>
    </row>
    <row r="25" spans="1:62" ht="12.75">
      <c r="A25" s="10" t="s">
        <v>11</v>
      </c>
      <c r="B25" s="10" t="s">
        <v>64</v>
      </c>
      <c r="C25" s="10" t="s">
        <v>132</v>
      </c>
      <c r="D25" s="38"/>
      <c r="E25" s="38"/>
      <c r="F25" s="10" t="s">
        <v>264</v>
      </c>
      <c r="G25" s="47">
        <v>132</v>
      </c>
      <c r="H25" s="47">
        <v>0</v>
      </c>
      <c r="I25" s="47">
        <f>G25*AO25</f>
        <v>0</v>
      </c>
      <c r="J25" s="47">
        <f>G25*AP25</f>
        <v>0</v>
      </c>
      <c r="K25" s="47">
        <f>G25*H25</f>
        <v>0</v>
      </c>
      <c r="L25" s="68" t="s">
        <v>285</v>
      </c>
      <c r="Z25" s="74">
        <f>IF(AQ25="5",BJ25,0)</f>
        <v>0</v>
      </c>
      <c r="AB25" s="74">
        <f>IF(AQ25="1",BH25,0)</f>
        <v>0</v>
      </c>
      <c r="AC25" s="74">
        <f>IF(AQ25="1",BI25,0)</f>
        <v>0</v>
      </c>
      <c r="AD25" s="74">
        <f>IF(AQ25="7",BH25,0)</f>
        <v>0</v>
      </c>
      <c r="AE25" s="74">
        <f>IF(AQ25="7",BI25,0)</f>
        <v>0</v>
      </c>
      <c r="AF25" s="74">
        <f>IF(AQ25="2",BH25,0)</f>
        <v>0</v>
      </c>
      <c r="AG25" s="74">
        <f>IF(AQ25="2",BI25,0)</f>
        <v>0</v>
      </c>
      <c r="AH25" s="74">
        <f>IF(AQ25="0",BJ25,0)</f>
        <v>0</v>
      </c>
      <c r="AI25" s="69"/>
      <c r="AJ25" s="47">
        <f>IF(AN25=0,K25,0)</f>
        <v>0</v>
      </c>
      <c r="AK25" s="47">
        <f>IF(AN25=15,K25,0)</f>
        <v>0</v>
      </c>
      <c r="AL25" s="47">
        <f>IF(AN25=21,K25,0)</f>
        <v>0</v>
      </c>
      <c r="AN25" s="74">
        <v>21</v>
      </c>
      <c r="AO25" s="74">
        <f>H25*0</f>
        <v>0</v>
      </c>
      <c r="AP25" s="74">
        <f>H25*(1-0)</f>
        <v>0</v>
      </c>
      <c r="AQ25" s="68" t="s">
        <v>7</v>
      </c>
      <c r="AV25" s="74">
        <f>AW25+AX25</f>
        <v>0</v>
      </c>
      <c r="AW25" s="74">
        <f>G25*AO25</f>
        <v>0</v>
      </c>
      <c r="AX25" s="74">
        <f>G25*AP25</f>
        <v>0</v>
      </c>
      <c r="AY25" s="75" t="s">
        <v>298</v>
      </c>
      <c r="AZ25" s="75" t="s">
        <v>310</v>
      </c>
      <c r="BA25" s="69" t="s">
        <v>313</v>
      </c>
      <c r="BC25" s="74">
        <f>AW25+AX25</f>
        <v>0</v>
      </c>
      <c r="BD25" s="74">
        <f>H25/(100-BE25)*100</f>
        <v>0</v>
      </c>
      <c r="BE25" s="74">
        <v>0</v>
      </c>
      <c r="BF25" s="74">
        <f>25</f>
        <v>25</v>
      </c>
      <c r="BH25" s="47">
        <f>G25*AO25</f>
        <v>0</v>
      </c>
      <c r="BI25" s="47">
        <f>G25*AP25</f>
        <v>0</v>
      </c>
      <c r="BJ25" s="47">
        <f>G25*H25</f>
        <v>0</v>
      </c>
    </row>
    <row r="26" spans="3:7" ht="12.75">
      <c r="C26" s="31" t="s">
        <v>133</v>
      </c>
      <c r="D26" s="39"/>
      <c r="E26" s="39"/>
      <c r="G26" s="48">
        <v>132</v>
      </c>
    </row>
    <row r="27" spans="1:47" ht="12.75">
      <c r="A27" s="11"/>
      <c r="B27" s="25" t="s">
        <v>18</v>
      </c>
      <c r="C27" s="25" t="s">
        <v>134</v>
      </c>
      <c r="D27" s="41"/>
      <c r="E27" s="41"/>
      <c r="F27" s="11" t="s">
        <v>6</v>
      </c>
      <c r="G27" s="11" t="s">
        <v>6</v>
      </c>
      <c r="H27" s="11" t="s">
        <v>6</v>
      </c>
      <c r="I27" s="77">
        <f>SUM(I28:I30)</f>
        <v>0</v>
      </c>
      <c r="J27" s="77">
        <f>SUM(J28:J30)</f>
        <v>0</v>
      </c>
      <c r="K27" s="77">
        <f>SUM(K28:K30)</f>
        <v>0</v>
      </c>
      <c r="L27" s="69"/>
      <c r="AI27" s="69"/>
      <c r="AS27" s="77">
        <f>SUM(AJ28:AJ30)</f>
        <v>0</v>
      </c>
      <c r="AT27" s="77">
        <f>SUM(AK28:AK30)</f>
        <v>0</v>
      </c>
      <c r="AU27" s="77">
        <f>SUM(AL28:AL30)</f>
        <v>0</v>
      </c>
    </row>
    <row r="28" spans="1:62" ht="12.75">
      <c r="A28" s="10" t="s">
        <v>12</v>
      </c>
      <c r="B28" s="10" t="s">
        <v>65</v>
      </c>
      <c r="C28" s="10" t="s">
        <v>135</v>
      </c>
      <c r="D28" s="38"/>
      <c r="E28" s="38"/>
      <c r="F28" s="10" t="s">
        <v>265</v>
      </c>
      <c r="G28" s="47">
        <v>105</v>
      </c>
      <c r="H28" s="47">
        <v>0</v>
      </c>
      <c r="I28" s="47">
        <f>G28*AO28</f>
        <v>0</v>
      </c>
      <c r="J28" s="47">
        <f>G28*AP28</f>
        <v>0</v>
      </c>
      <c r="K28" s="47">
        <f>G28*H28</f>
        <v>0</v>
      </c>
      <c r="L28" s="68" t="s">
        <v>285</v>
      </c>
      <c r="Z28" s="74">
        <f>IF(AQ28="5",BJ28,0)</f>
        <v>0</v>
      </c>
      <c r="AB28" s="74">
        <f>IF(AQ28="1",BH28,0)</f>
        <v>0</v>
      </c>
      <c r="AC28" s="74">
        <f>IF(AQ28="1",BI28,0)</f>
        <v>0</v>
      </c>
      <c r="AD28" s="74">
        <f>IF(AQ28="7",BH28,0)</f>
        <v>0</v>
      </c>
      <c r="AE28" s="74">
        <f>IF(AQ28="7",BI28,0)</f>
        <v>0</v>
      </c>
      <c r="AF28" s="74">
        <f>IF(AQ28="2",BH28,0)</f>
        <v>0</v>
      </c>
      <c r="AG28" s="74">
        <f>IF(AQ28="2",BI28,0)</f>
        <v>0</v>
      </c>
      <c r="AH28" s="74">
        <f>IF(AQ28="0",BJ28,0)</f>
        <v>0</v>
      </c>
      <c r="AI28" s="69"/>
      <c r="AJ28" s="47">
        <f>IF(AN28=0,K28,0)</f>
        <v>0</v>
      </c>
      <c r="AK28" s="47">
        <f>IF(AN28=15,K28,0)</f>
        <v>0</v>
      </c>
      <c r="AL28" s="47">
        <f>IF(AN28=21,K28,0)</f>
        <v>0</v>
      </c>
      <c r="AN28" s="74">
        <v>21</v>
      </c>
      <c r="AO28" s="74">
        <f>H28*0</f>
        <v>0</v>
      </c>
      <c r="AP28" s="74">
        <f>H28*(1-0)</f>
        <v>0</v>
      </c>
      <c r="AQ28" s="68" t="s">
        <v>7</v>
      </c>
      <c r="AV28" s="74">
        <f>AW28+AX28</f>
        <v>0</v>
      </c>
      <c r="AW28" s="74">
        <f>G28*AO28</f>
        <v>0</v>
      </c>
      <c r="AX28" s="74">
        <f>G28*AP28</f>
        <v>0</v>
      </c>
      <c r="AY28" s="75" t="s">
        <v>299</v>
      </c>
      <c r="AZ28" s="75" t="s">
        <v>310</v>
      </c>
      <c r="BA28" s="69" t="s">
        <v>313</v>
      </c>
      <c r="BC28" s="74">
        <f>AW28+AX28</f>
        <v>0</v>
      </c>
      <c r="BD28" s="74">
        <f>H28/(100-BE28)*100</f>
        <v>0</v>
      </c>
      <c r="BE28" s="74">
        <v>0</v>
      </c>
      <c r="BF28" s="74">
        <f>28</f>
        <v>28</v>
      </c>
      <c r="BH28" s="47">
        <f>G28*AO28</f>
        <v>0</v>
      </c>
      <c r="BI28" s="47">
        <f>G28*AP28</f>
        <v>0</v>
      </c>
      <c r="BJ28" s="47">
        <f>G28*H28</f>
        <v>0</v>
      </c>
    </row>
    <row r="29" spans="3:7" ht="12.75">
      <c r="C29" s="31" t="s">
        <v>136</v>
      </c>
      <c r="D29" s="39"/>
      <c r="E29" s="39"/>
      <c r="G29" s="48">
        <v>105</v>
      </c>
    </row>
    <row r="30" spans="1:62" ht="12.75">
      <c r="A30" s="10" t="s">
        <v>13</v>
      </c>
      <c r="B30" s="10" t="s">
        <v>66</v>
      </c>
      <c r="C30" s="10" t="s">
        <v>137</v>
      </c>
      <c r="D30" s="38"/>
      <c r="E30" s="38"/>
      <c r="F30" s="10" t="s">
        <v>265</v>
      </c>
      <c r="G30" s="47">
        <v>52.5</v>
      </c>
      <c r="H30" s="47">
        <v>0</v>
      </c>
      <c r="I30" s="47">
        <f>G30*AO30</f>
        <v>0</v>
      </c>
      <c r="J30" s="47">
        <f>G30*AP30</f>
        <v>0</v>
      </c>
      <c r="K30" s="47">
        <f>G30*H30</f>
        <v>0</v>
      </c>
      <c r="L30" s="68" t="s">
        <v>285</v>
      </c>
      <c r="Z30" s="74">
        <f>IF(AQ30="5",BJ30,0)</f>
        <v>0</v>
      </c>
      <c r="AB30" s="74">
        <f>IF(AQ30="1",BH30,0)</f>
        <v>0</v>
      </c>
      <c r="AC30" s="74">
        <f>IF(AQ30="1",BI30,0)</f>
        <v>0</v>
      </c>
      <c r="AD30" s="74">
        <f>IF(AQ30="7",BH30,0)</f>
        <v>0</v>
      </c>
      <c r="AE30" s="74">
        <f>IF(AQ30="7",BI30,0)</f>
        <v>0</v>
      </c>
      <c r="AF30" s="74">
        <f>IF(AQ30="2",BH30,0)</f>
        <v>0</v>
      </c>
      <c r="AG30" s="74">
        <f>IF(AQ30="2",BI30,0)</f>
        <v>0</v>
      </c>
      <c r="AH30" s="74">
        <f>IF(AQ30="0",BJ30,0)</f>
        <v>0</v>
      </c>
      <c r="AI30" s="69"/>
      <c r="AJ30" s="47">
        <f>IF(AN30=0,K30,0)</f>
        <v>0</v>
      </c>
      <c r="AK30" s="47">
        <f>IF(AN30=15,K30,0)</f>
        <v>0</v>
      </c>
      <c r="AL30" s="47">
        <f>IF(AN30=21,K30,0)</f>
        <v>0</v>
      </c>
      <c r="AN30" s="74">
        <v>21</v>
      </c>
      <c r="AO30" s="74">
        <f>H30*0</f>
        <v>0</v>
      </c>
      <c r="AP30" s="74">
        <f>H30*(1-0)</f>
        <v>0</v>
      </c>
      <c r="AQ30" s="68" t="s">
        <v>7</v>
      </c>
      <c r="AV30" s="74">
        <f>AW30+AX30</f>
        <v>0</v>
      </c>
      <c r="AW30" s="74">
        <f>G30*AO30</f>
        <v>0</v>
      </c>
      <c r="AX30" s="74">
        <f>G30*AP30</f>
        <v>0</v>
      </c>
      <c r="AY30" s="75" t="s">
        <v>299</v>
      </c>
      <c r="AZ30" s="75" t="s">
        <v>310</v>
      </c>
      <c r="BA30" s="69" t="s">
        <v>313</v>
      </c>
      <c r="BC30" s="74">
        <f>AW30+AX30</f>
        <v>0</v>
      </c>
      <c r="BD30" s="74">
        <f>H30/(100-BE30)*100</f>
        <v>0</v>
      </c>
      <c r="BE30" s="74">
        <v>0</v>
      </c>
      <c r="BF30" s="74">
        <f>30</f>
        <v>30</v>
      </c>
      <c r="BH30" s="47">
        <f>G30*AO30</f>
        <v>0</v>
      </c>
      <c r="BI30" s="47">
        <f>G30*AP30</f>
        <v>0</v>
      </c>
      <c r="BJ30" s="47">
        <f>G30*H30</f>
        <v>0</v>
      </c>
    </row>
    <row r="31" spans="3:7" ht="12.75">
      <c r="C31" s="31" t="s">
        <v>138</v>
      </c>
      <c r="D31" s="39"/>
      <c r="E31" s="39"/>
      <c r="G31" s="48">
        <v>52.5</v>
      </c>
    </row>
    <row r="32" spans="2:12" ht="12.75">
      <c r="B32" s="24" t="s">
        <v>60</v>
      </c>
      <c r="C32" s="32" t="s">
        <v>139</v>
      </c>
      <c r="D32" s="40"/>
      <c r="E32" s="40"/>
      <c r="F32" s="40"/>
      <c r="G32" s="40"/>
      <c r="H32" s="40"/>
      <c r="I32" s="40"/>
      <c r="J32" s="40"/>
      <c r="K32" s="40"/>
      <c r="L32" s="40"/>
    </row>
    <row r="33" spans="1:47" ht="12.75">
      <c r="A33" s="11"/>
      <c r="B33" s="25" t="s">
        <v>22</v>
      </c>
      <c r="C33" s="25" t="s">
        <v>140</v>
      </c>
      <c r="D33" s="41"/>
      <c r="E33" s="41"/>
      <c r="F33" s="11" t="s">
        <v>6</v>
      </c>
      <c r="G33" s="11" t="s">
        <v>6</v>
      </c>
      <c r="H33" s="11" t="s">
        <v>6</v>
      </c>
      <c r="I33" s="77">
        <f>SUM(I34:I39)</f>
        <v>0</v>
      </c>
      <c r="J33" s="77">
        <f>SUM(J34:J39)</f>
        <v>0</v>
      </c>
      <c r="K33" s="77">
        <f>SUM(K34:K39)</f>
        <v>0</v>
      </c>
      <c r="L33" s="69"/>
      <c r="AI33" s="69"/>
      <c r="AS33" s="77">
        <f>SUM(AJ34:AJ39)</f>
        <v>0</v>
      </c>
      <c r="AT33" s="77">
        <f>SUM(AK34:AK39)</f>
        <v>0</v>
      </c>
      <c r="AU33" s="77">
        <f>SUM(AL34:AL39)</f>
        <v>0</v>
      </c>
    </row>
    <row r="34" spans="1:62" ht="12.75">
      <c r="A34" s="10" t="s">
        <v>14</v>
      </c>
      <c r="B34" s="10" t="s">
        <v>67</v>
      </c>
      <c r="C34" s="10" t="s">
        <v>141</v>
      </c>
      <c r="D34" s="38"/>
      <c r="E34" s="38"/>
      <c r="F34" s="10" t="s">
        <v>265</v>
      </c>
      <c r="G34" s="47">
        <v>11.1</v>
      </c>
      <c r="H34" s="47">
        <v>0</v>
      </c>
      <c r="I34" s="47">
        <f>G34*AO34</f>
        <v>0</v>
      </c>
      <c r="J34" s="47">
        <f>G34*AP34</f>
        <v>0</v>
      </c>
      <c r="K34" s="47">
        <f>G34*H34</f>
        <v>0</v>
      </c>
      <c r="L34" s="68" t="s">
        <v>285</v>
      </c>
      <c r="Z34" s="74">
        <f>IF(AQ34="5",BJ34,0)</f>
        <v>0</v>
      </c>
      <c r="AB34" s="74">
        <f>IF(AQ34="1",BH34,0)</f>
        <v>0</v>
      </c>
      <c r="AC34" s="74">
        <f>IF(AQ34="1",BI34,0)</f>
        <v>0</v>
      </c>
      <c r="AD34" s="74">
        <f>IF(AQ34="7",BH34,0)</f>
        <v>0</v>
      </c>
      <c r="AE34" s="74">
        <f>IF(AQ34="7",BI34,0)</f>
        <v>0</v>
      </c>
      <c r="AF34" s="74">
        <f>IF(AQ34="2",BH34,0)</f>
        <v>0</v>
      </c>
      <c r="AG34" s="74">
        <f>IF(AQ34="2",BI34,0)</f>
        <v>0</v>
      </c>
      <c r="AH34" s="74">
        <f>IF(AQ34="0",BJ34,0)</f>
        <v>0</v>
      </c>
      <c r="AI34" s="69"/>
      <c r="AJ34" s="47">
        <f>IF(AN34=0,K34,0)</f>
        <v>0</v>
      </c>
      <c r="AK34" s="47">
        <f>IF(AN34=15,K34,0)</f>
        <v>0</v>
      </c>
      <c r="AL34" s="47">
        <f>IF(AN34=21,K34,0)</f>
        <v>0</v>
      </c>
      <c r="AN34" s="74">
        <v>21</v>
      </c>
      <c r="AO34" s="74">
        <f>H34*0</f>
        <v>0</v>
      </c>
      <c r="AP34" s="74">
        <f>H34*(1-0)</f>
        <v>0</v>
      </c>
      <c r="AQ34" s="68" t="s">
        <v>7</v>
      </c>
      <c r="AV34" s="74">
        <f>AW34+AX34</f>
        <v>0</v>
      </c>
      <c r="AW34" s="74">
        <f>G34*AO34</f>
        <v>0</v>
      </c>
      <c r="AX34" s="74">
        <f>G34*AP34</f>
        <v>0</v>
      </c>
      <c r="AY34" s="75" t="s">
        <v>300</v>
      </c>
      <c r="AZ34" s="75" t="s">
        <v>310</v>
      </c>
      <c r="BA34" s="69" t="s">
        <v>313</v>
      </c>
      <c r="BC34" s="74">
        <f>AW34+AX34</f>
        <v>0</v>
      </c>
      <c r="BD34" s="74">
        <f>H34/(100-BE34)*100</f>
        <v>0</v>
      </c>
      <c r="BE34" s="74">
        <v>0</v>
      </c>
      <c r="BF34" s="74">
        <f>34</f>
        <v>34</v>
      </c>
      <c r="BH34" s="47">
        <f>G34*AO34</f>
        <v>0</v>
      </c>
      <c r="BI34" s="47">
        <f>G34*AP34</f>
        <v>0</v>
      </c>
      <c r="BJ34" s="47">
        <f>G34*H34</f>
        <v>0</v>
      </c>
    </row>
    <row r="35" spans="3:7" ht="12.75">
      <c r="C35" s="31" t="s">
        <v>142</v>
      </c>
      <c r="D35" s="39"/>
      <c r="E35" s="39"/>
      <c r="G35" s="48">
        <v>11.1</v>
      </c>
    </row>
    <row r="36" spans="1:62" ht="12.75">
      <c r="A36" s="10" t="s">
        <v>15</v>
      </c>
      <c r="B36" s="10" t="s">
        <v>68</v>
      </c>
      <c r="C36" s="10" t="s">
        <v>143</v>
      </c>
      <c r="D36" s="38"/>
      <c r="E36" s="38"/>
      <c r="F36" s="10" t="s">
        <v>265</v>
      </c>
      <c r="G36" s="47">
        <v>84</v>
      </c>
      <c r="H36" s="47">
        <v>0</v>
      </c>
      <c r="I36" s="47">
        <f>G36*AO36</f>
        <v>0</v>
      </c>
      <c r="J36" s="47">
        <f>G36*AP36</f>
        <v>0</v>
      </c>
      <c r="K36" s="47">
        <f>G36*H36</f>
        <v>0</v>
      </c>
      <c r="L36" s="68" t="s">
        <v>285</v>
      </c>
      <c r="Z36" s="74">
        <f>IF(AQ36="5",BJ36,0)</f>
        <v>0</v>
      </c>
      <c r="AB36" s="74">
        <f>IF(AQ36="1",BH36,0)</f>
        <v>0</v>
      </c>
      <c r="AC36" s="74">
        <f>IF(AQ36="1",BI36,0)</f>
        <v>0</v>
      </c>
      <c r="AD36" s="74">
        <f>IF(AQ36="7",BH36,0)</f>
        <v>0</v>
      </c>
      <c r="AE36" s="74">
        <f>IF(AQ36="7",BI36,0)</f>
        <v>0</v>
      </c>
      <c r="AF36" s="74">
        <f>IF(AQ36="2",BH36,0)</f>
        <v>0</v>
      </c>
      <c r="AG36" s="74">
        <f>IF(AQ36="2",BI36,0)</f>
        <v>0</v>
      </c>
      <c r="AH36" s="74">
        <f>IF(AQ36="0",BJ36,0)</f>
        <v>0</v>
      </c>
      <c r="AI36" s="69"/>
      <c r="AJ36" s="47">
        <f>IF(AN36=0,K36,0)</f>
        <v>0</v>
      </c>
      <c r="AK36" s="47">
        <f>IF(AN36=15,K36,0)</f>
        <v>0</v>
      </c>
      <c r="AL36" s="47">
        <f>IF(AN36=21,K36,0)</f>
        <v>0</v>
      </c>
      <c r="AN36" s="74">
        <v>21</v>
      </c>
      <c r="AO36" s="74">
        <f>H36*0</f>
        <v>0</v>
      </c>
      <c r="AP36" s="74">
        <f>H36*(1-0)</f>
        <v>0</v>
      </c>
      <c r="AQ36" s="68" t="s">
        <v>7</v>
      </c>
      <c r="AV36" s="74">
        <f>AW36+AX36</f>
        <v>0</v>
      </c>
      <c r="AW36" s="74">
        <f>G36*AO36</f>
        <v>0</v>
      </c>
      <c r="AX36" s="74">
        <f>G36*AP36</f>
        <v>0</v>
      </c>
      <c r="AY36" s="75" t="s">
        <v>300</v>
      </c>
      <c r="AZ36" s="75" t="s">
        <v>310</v>
      </c>
      <c r="BA36" s="69" t="s">
        <v>313</v>
      </c>
      <c r="BC36" s="74">
        <f>AW36+AX36</f>
        <v>0</v>
      </c>
      <c r="BD36" s="74">
        <f>H36/(100-BE36)*100</f>
        <v>0</v>
      </c>
      <c r="BE36" s="74">
        <v>0</v>
      </c>
      <c r="BF36" s="74">
        <f>36</f>
        <v>36</v>
      </c>
      <c r="BH36" s="47">
        <f>G36*AO36</f>
        <v>0</v>
      </c>
      <c r="BI36" s="47">
        <f>G36*AP36</f>
        <v>0</v>
      </c>
      <c r="BJ36" s="47">
        <f>G36*H36</f>
        <v>0</v>
      </c>
    </row>
    <row r="37" spans="3:7" ht="12.75">
      <c r="C37" s="31" t="s">
        <v>144</v>
      </c>
      <c r="D37" s="39"/>
      <c r="E37" s="39"/>
      <c r="G37" s="48">
        <v>105</v>
      </c>
    </row>
    <row r="38" spans="3:7" ht="12.75">
      <c r="C38" s="31" t="s">
        <v>145</v>
      </c>
      <c r="D38" s="39"/>
      <c r="E38" s="39"/>
      <c r="G38" s="48">
        <v>-21</v>
      </c>
    </row>
    <row r="39" spans="1:62" ht="12.75">
      <c r="A39" s="10" t="s">
        <v>16</v>
      </c>
      <c r="B39" s="10" t="s">
        <v>69</v>
      </c>
      <c r="C39" s="10" t="s">
        <v>146</v>
      </c>
      <c r="D39" s="38"/>
      <c r="E39" s="38"/>
      <c r="F39" s="10" t="s">
        <v>265</v>
      </c>
      <c r="G39" s="47">
        <v>11.1</v>
      </c>
      <c r="H39" s="47">
        <v>0</v>
      </c>
      <c r="I39" s="47">
        <f>G39*AO39</f>
        <v>0</v>
      </c>
      <c r="J39" s="47">
        <f>G39*AP39</f>
        <v>0</v>
      </c>
      <c r="K39" s="47">
        <f>G39*H39</f>
        <v>0</v>
      </c>
      <c r="L39" s="68" t="s">
        <v>285</v>
      </c>
      <c r="Z39" s="74">
        <f>IF(AQ39="5",BJ39,0)</f>
        <v>0</v>
      </c>
      <c r="AB39" s="74">
        <f>IF(AQ39="1",BH39,0)</f>
        <v>0</v>
      </c>
      <c r="AC39" s="74">
        <f>IF(AQ39="1",BI39,0)</f>
        <v>0</v>
      </c>
      <c r="AD39" s="74">
        <f>IF(AQ39="7",BH39,0)</f>
        <v>0</v>
      </c>
      <c r="AE39" s="74">
        <f>IF(AQ39="7",BI39,0)</f>
        <v>0</v>
      </c>
      <c r="AF39" s="74">
        <f>IF(AQ39="2",BH39,0)</f>
        <v>0</v>
      </c>
      <c r="AG39" s="74">
        <f>IF(AQ39="2",BI39,0)</f>
        <v>0</v>
      </c>
      <c r="AH39" s="74">
        <f>IF(AQ39="0",BJ39,0)</f>
        <v>0</v>
      </c>
      <c r="AI39" s="69"/>
      <c r="AJ39" s="47">
        <f>IF(AN39=0,K39,0)</f>
        <v>0</v>
      </c>
      <c r="AK39" s="47">
        <f>IF(AN39=15,K39,0)</f>
        <v>0</v>
      </c>
      <c r="AL39" s="47">
        <f>IF(AN39=21,K39,0)</f>
        <v>0</v>
      </c>
      <c r="AN39" s="74">
        <v>21</v>
      </c>
      <c r="AO39" s="74">
        <f>H39*0</f>
        <v>0</v>
      </c>
      <c r="AP39" s="74">
        <f>H39*(1-0)</f>
        <v>0</v>
      </c>
      <c r="AQ39" s="68" t="s">
        <v>7</v>
      </c>
      <c r="AV39" s="74">
        <f>AW39+AX39</f>
        <v>0</v>
      </c>
      <c r="AW39" s="74">
        <f>G39*AO39</f>
        <v>0</v>
      </c>
      <c r="AX39" s="74">
        <f>G39*AP39</f>
        <v>0</v>
      </c>
      <c r="AY39" s="75" t="s">
        <v>300</v>
      </c>
      <c r="AZ39" s="75" t="s">
        <v>310</v>
      </c>
      <c r="BA39" s="69" t="s">
        <v>313</v>
      </c>
      <c r="BC39" s="74">
        <f>AW39+AX39</f>
        <v>0</v>
      </c>
      <c r="BD39" s="74">
        <f>H39/(100-BE39)*100</f>
        <v>0</v>
      </c>
      <c r="BE39" s="74">
        <v>0</v>
      </c>
      <c r="BF39" s="74">
        <f>39</f>
        <v>39</v>
      </c>
      <c r="BH39" s="47">
        <f>G39*AO39</f>
        <v>0</v>
      </c>
      <c r="BI39" s="47">
        <f>G39*AP39</f>
        <v>0</v>
      </c>
      <c r="BJ39" s="47">
        <f>G39*H39</f>
        <v>0</v>
      </c>
    </row>
    <row r="40" spans="3:7" ht="12.75">
      <c r="C40" s="31" t="s">
        <v>147</v>
      </c>
      <c r="D40" s="39"/>
      <c r="E40" s="39"/>
      <c r="G40" s="48">
        <v>11.1</v>
      </c>
    </row>
    <row r="41" spans="1:47" ht="12.75">
      <c r="A41" s="11"/>
      <c r="B41" s="25" t="s">
        <v>23</v>
      </c>
      <c r="C41" s="25" t="s">
        <v>148</v>
      </c>
      <c r="D41" s="41"/>
      <c r="E41" s="41"/>
      <c r="F41" s="11" t="s">
        <v>6</v>
      </c>
      <c r="G41" s="11" t="s">
        <v>6</v>
      </c>
      <c r="H41" s="11" t="s">
        <v>6</v>
      </c>
      <c r="I41" s="77">
        <f>SUM(I42:I42)</f>
        <v>0</v>
      </c>
      <c r="J41" s="77">
        <f>SUM(J42:J42)</f>
        <v>0</v>
      </c>
      <c r="K41" s="77">
        <f>SUM(K42:K42)</f>
        <v>0</v>
      </c>
      <c r="L41" s="69"/>
      <c r="AI41" s="69"/>
      <c r="AS41" s="77">
        <f>SUM(AJ42:AJ42)</f>
        <v>0</v>
      </c>
      <c r="AT41" s="77">
        <f>SUM(AK42:AK42)</f>
        <v>0</v>
      </c>
      <c r="AU41" s="77">
        <f>SUM(AL42:AL42)</f>
        <v>0</v>
      </c>
    </row>
    <row r="42" spans="1:62" ht="12.75">
      <c r="A42" s="10" t="s">
        <v>17</v>
      </c>
      <c r="B42" s="10" t="s">
        <v>70</v>
      </c>
      <c r="C42" s="10" t="s">
        <v>149</v>
      </c>
      <c r="D42" s="38"/>
      <c r="E42" s="38"/>
      <c r="F42" s="10" t="s">
        <v>265</v>
      </c>
      <c r="G42" s="47">
        <v>21</v>
      </c>
      <c r="H42" s="47">
        <v>0</v>
      </c>
      <c r="I42" s="47">
        <f>G42*AO42</f>
        <v>0</v>
      </c>
      <c r="J42" s="47">
        <f>G42*AP42</f>
        <v>0</v>
      </c>
      <c r="K42" s="47">
        <f>G42*H42</f>
        <v>0</v>
      </c>
      <c r="L42" s="68" t="s">
        <v>285</v>
      </c>
      <c r="Z42" s="74">
        <f>IF(AQ42="5",BJ42,0)</f>
        <v>0</v>
      </c>
      <c r="AB42" s="74">
        <f>IF(AQ42="1",BH42,0)</f>
        <v>0</v>
      </c>
      <c r="AC42" s="74">
        <f>IF(AQ42="1",BI42,0)</f>
        <v>0</v>
      </c>
      <c r="AD42" s="74">
        <f>IF(AQ42="7",BH42,0)</f>
        <v>0</v>
      </c>
      <c r="AE42" s="74">
        <f>IF(AQ42="7",BI42,0)</f>
        <v>0</v>
      </c>
      <c r="AF42" s="74">
        <f>IF(AQ42="2",BH42,0)</f>
        <v>0</v>
      </c>
      <c r="AG42" s="74">
        <f>IF(AQ42="2",BI42,0)</f>
        <v>0</v>
      </c>
      <c r="AH42" s="74">
        <f>IF(AQ42="0",BJ42,0)</f>
        <v>0</v>
      </c>
      <c r="AI42" s="69"/>
      <c r="AJ42" s="47">
        <f>IF(AN42=0,K42,0)</f>
        <v>0</v>
      </c>
      <c r="AK42" s="47">
        <f>IF(AN42=15,K42,0)</f>
        <v>0</v>
      </c>
      <c r="AL42" s="47">
        <f>IF(AN42=21,K42,0)</f>
        <v>0</v>
      </c>
      <c r="AN42" s="74">
        <v>21</v>
      </c>
      <c r="AO42" s="74">
        <f>H42*0</f>
        <v>0</v>
      </c>
      <c r="AP42" s="74">
        <f>H42*(1-0)</f>
        <v>0</v>
      </c>
      <c r="AQ42" s="68" t="s">
        <v>7</v>
      </c>
      <c r="AV42" s="74">
        <f>AW42+AX42</f>
        <v>0</v>
      </c>
      <c r="AW42" s="74">
        <f>G42*AO42</f>
        <v>0</v>
      </c>
      <c r="AX42" s="74">
        <f>G42*AP42</f>
        <v>0</v>
      </c>
      <c r="AY42" s="75" t="s">
        <v>301</v>
      </c>
      <c r="AZ42" s="75" t="s">
        <v>310</v>
      </c>
      <c r="BA42" s="69" t="s">
        <v>313</v>
      </c>
      <c r="BC42" s="74">
        <f>AW42+AX42</f>
        <v>0</v>
      </c>
      <c r="BD42" s="74">
        <f>H42/(100-BE42)*100</f>
        <v>0</v>
      </c>
      <c r="BE42" s="74">
        <v>0</v>
      </c>
      <c r="BF42" s="74">
        <f>42</f>
        <v>42</v>
      </c>
      <c r="BH42" s="47">
        <f>G42*AO42</f>
        <v>0</v>
      </c>
      <c r="BI42" s="47">
        <f>G42*AP42</f>
        <v>0</v>
      </c>
      <c r="BJ42" s="47">
        <f>G42*H42</f>
        <v>0</v>
      </c>
    </row>
    <row r="43" spans="3:7" ht="12.75">
      <c r="C43" s="31" t="s">
        <v>150</v>
      </c>
      <c r="D43" s="39"/>
      <c r="E43" s="39"/>
      <c r="G43" s="48">
        <v>21</v>
      </c>
    </row>
    <row r="44" spans="2:12" ht="12.75">
      <c r="B44" s="24" t="s">
        <v>60</v>
      </c>
      <c r="C44" s="32" t="s">
        <v>151</v>
      </c>
      <c r="D44" s="40"/>
      <c r="E44" s="40"/>
      <c r="F44" s="40"/>
      <c r="G44" s="40"/>
      <c r="H44" s="40"/>
      <c r="I44" s="40"/>
      <c r="J44" s="40"/>
      <c r="K44" s="40"/>
      <c r="L44" s="40"/>
    </row>
    <row r="45" spans="1:47" ht="12.75">
      <c r="A45" s="11"/>
      <c r="B45" s="25" t="s">
        <v>24</v>
      </c>
      <c r="C45" s="25" t="s">
        <v>152</v>
      </c>
      <c r="D45" s="41"/>
      <c r="E45" s="41"/>
      <c r="F45" s="11" t="s">
        <v>6</v>
      </c>
      <c r="G45" s="11" t="s">
        <v>6</v>
      </c>
      <c r="H45" s="11" t="s">
        <v>6</v>
      </c>
      <c r="I45" s="77">
        <f>SUM(I46:I51)</f>
        <v>0</v>
      </c>
      <c r="J45" s="77">
        <f>SUM(J46:J51)</f>
        <v>0</v>
      </c>
      <c r="K45" s="77">
        <f>SUM(K46:K51)</f>
        <v>0</v>
      </c>
      <c r="L45" s="69"/>
      <c r="AI45" s="69"/>
      <c r="AS45" s="77">
        <f>SUM(AJ46:AJ51)</f>
        <v>0</v>
      </c>
      <c r="AT45" s="77">
        <f>SUM(AK46:AK51)</f>
        <v>0</v>
      </c>
      <c r="AU45" s="77">
        <f>SUM(AL46:AL51)</f>
        <v>0</v>
      </c>
    </row>
    <row r="46" spans="1:62" ht="12.75">
      <c r="A46" s="10" t="s">
        <v>18</v>
      </c>
      <c r="B46" s="10" t="s">
        <v>71</v>
      </c>
      <c r="C46" s="10" t="s">
        <v>153</v>
      </c>
      <c r="D46" s="38"/>
      <c r="E46" s="38"/>
      <c r="F46" s="10" t="s">
        <v>263</v>
      </c>
      <c r="G46" s="47">
        <v>69</v>
      </c>
      <c r="H46" s="47">
        <v>0</v>
      </c>
      <c r="I46" s="47">
        <f>G46*AO46</f>
        <v>0</v>
      </c>
      <c r="J46" s="47">
        <f>G46*AP46</f>
        <v>0</v>
      </c>
      <c r="K46" s="47">
        <f>G46*H46</f>
        <v>0</v>
      </c>
      <c r="L46" s="68" t="s">
        <v>285</v>
      </c>
      <c r="Z46" s="74">
        <f>IF(AQ46="5",BJ46,0)</f>
        <v>0</v>
      </c>
      <c r="AB46" s="74">
        <f>IF(AQ46="1",BH46,0)</f>
        <v>0</v>
      </c>
      <c r="AC46" s="74">
        <f>IF(AQ46="1",BI46,0)</f>
        <v>0</v>
      </c>
      <c r="AD46" s="74">
        <f>IF(AQ46="7",BH46,0)</f>
        <v>0</v>
      </c>
      <c r="AE46" s="74">
        <f>IF(AQ46="7",BI46,0)</f>
        <v>0</v>
      </c>
      <c r="AF46" s="74">
        <f>IF(AQ46="2",BH46,0)</f>
        <v>0</v>
      </c>
      <c r="AG46" s="74">
        <f>IF(AQ46="2",BI46,0)</f>
        <v>0</v>
      </c>
      <c r="AH46" s="74">
        <f>IF(AQ46="0",BJ46,0)</f>
        <v>0</v>
      </c>
      <c r="AI46" s="69"/>
      <c r="AJ46" s="47">
        <f>IF(AN46=0,K46,0)</f>
        <v>0</v>
      </c>
      <c r="AK46" s="47">
        <f>IF(AN46=15,K46,0)</f>
        <v>0</v>
      </c>
      <c r="AL46" s="47">
        <f>IF(AN46=21,K46,0)</f>
        <v>0</v>
      </c>
      <c r="AN46" s="74">
        <v>21</v>
      </c>
      <c r="AO46" s="74">
        <f>H46*0</f>
        <v>0</v>
      </c>
      <c r="AP46" s="74">
        <f>H46*(1-0)</f>
        <v>0</v>
      </c>
      <c r="AQ46" s="68" t="s">
        <v>7</v>
      </c>
      <c r="AV46" s="74">
        <f>AW46+AX46</f>
        <v>0</v>
      </c>
      <c r="AW46" s="74">
        <f>G46*AO46</f>
        <v>0</v>
      </c>
      <c r="AX46" s="74">
        <f>G46*AP46</f>
        <v>0</v>
      </c>
      <c r="AY46" s="75" t="s">
        <v>302</v>
      </c>
      <c r="AZ46" s="75" t="s">
        <v>310</v>
      </c>
      <c r="BA46" s="69" t="s">
        <v>313</v>
      </c>
      <c r="BC46" s="74">
        <f>AW46+AX46</f>
        <v>0</v>
      </c>
      <c r="BD46" s="74">
        <f>H46/(100-BE46)*100</f>
        <v>0</v>
      </c>
      <c r="BE46" s="74">
        <v>0</v>
      </c>
      <c r="BF46" s="74">
        <f>46</f>
        <v>46</v>
      </c>
      <c r="BH46" s="47">
        <f>G46*AO46</f>
        <v>0</v>
      </c>
      <c r="BI46" s="47">
        <f>G46*AP46</f>
        <v>0</v>
      </c>
      <c r="BJ46" s="47">
        <f>G46*H46</f>
        <v>0</v>
      </c>
    </row>
    <row r="47" spans="3:7" ht="12.75">
      <c r="C47" s="31" t="s">
        <v>154</v>
      </c>
      <c r="D47" s="39"/>
      <c r="E47" s="39"/>
      <c r="G47" s="48">
        <v>69</v>
      </c>
    </row>
    <row r="48" spans="1:62" ht="12.75">
      <c r="A48" s="10" t="s">
        <v>19</v>
      </c>
      <c r="B48" s="10" t="s">
        <v>72</v>
      </c>
      <c r="C48" s="10" t="s">
        <v>155</v>
      </c>
      <c r="D48" s="38"/>
      <c r="E48" s="38"/>
      <c r="F48" s="10" t="s">
        <v>263</v>
      </c>
      <c r="G48" s="47">
        <v>311</v>
      </c>
      <c r="H48" s="47">
        <v>0</v>
      </c>
      <c r="I48" s="47">
        <f>G48*AO48</f>
        <v>0</v>
      </c>
      <c r="J48" s="47">
        <f>G48*AP48</f>
        <v>0</v>
      </c>
      <c r="K48" s="47">
        <f>G48*H48</f>
        <v>0</v>
      </c>
      <c r="L48" s="68" t="s">
        <v>285</v>
      </c>
      <c r="Z48" s="74">
        <f>IF(AQ48="5",BJ48,0)</f>
        <v>0</v>
      </c>
      <c r="AB48" s="74">
        <f>IF(AQ48="1",BH48,0)</f>
        <v>0</v>
      </c>
      <c r="AC48" s="74">
        <f>IF(AQ48="1",BI48,0)</f>
        <v>0</v>
      </c>
      <c r="AD48" s="74">
        <f>IF(AQ48="7",BH48,0)</f>
        <v>0</v>
      </c>
      <c r="AE48" s="74">
        <f>IF(AQ48="7",BI48,0)</f>
        <v>0</v>
      </c>
      <c r="AF48" s="74">
        <f>IF(AQ48="2",BH48,0)</f>
        <v>0</v>
      </c>
      <c r="AG48" s="74">
        <f>IF(AQ48="2",BI48,0)</f>
        <v>0</v>
      </c>
      <c r="AH48" s="74">
        <f>IF(AQ48="0",BJ48,0)</f>
        <v>0</v>
      </c>
      <c r="AI48" s="69"/>
      <c r="AJ48" s="47">
        <f>IF(AN48=0,K48,0)</f>
        <v>0</v>
      </c>
      <c r="AK48" s="47">
        <f>IF(AN48=15,K48,0)</f>
        <v>0</v>
      </c>
      <c r="AL48" s="47">
        <f>IF(AN48=21,K48,0)</f>
        <v>0</v>
      </c>
      <c r="AN48" s="74">
        <v>21</v>
      </c>
      <c r="AO48" s="74">
        <f>H48*0</f>
        <v>0</v>
      </c>
      <c r="AP48" s="74">
        <f>H48*(1-0)</f>
        <v>0</v>
      </c>
      <c r="AQ48" s="68" t="s">
        <v>7</v>
      </c>
      <c r="AV48" s="74">
        <f>AW48+AX48</f>
        <v>0</v>
      </c>
      <c r="AW48" s="74">
        <f>G48*AO48</f>
        <v>0</v>
      </c>
      <c r="AX48" s="74">
        <f>G48*AP48</f>
        <v>0</v>
      </c>
      <c r="AY48" s="75" t="s">
        <v>302</v>
      </c>
      <c r="AZ48" s="75" t="s">
        <v>310</v>
      </c>
      <c r="BA48" s="69" t="s">
        <v>313</v>
      </c>
      <c r="BC48" s="74">
        <f>AW48+AX48</f>
        <v>0</v>
      </c>
      <c r="BD48" s="74">
        <f>H48/(100-BE48)*100</f>
        <v>0</v>
      </c>
      <c r="BE48" s="74">
        <v>0</v>
      </c>
      <c r="BF48" s="74">
        <f>48</f>
        <v>48</v>
      </c>
      <c r="BH48" s="47">
        <f>G48*AO48</f>
        <v>0</v>
      </c>
      <c r="BI48" s="47">
        <f>G48*AP48</f>
        <v>0</v>
      </c>
      <c r="BJ48" s="47">
        <f>G48*H48</f>
        <v>0</v>
      </c>
    </row>
    <row r="49" spans="2:12" ht="12.75">
      <c r="B49" s="24" t="s">
        <v>60</v>
      </c>
      <c r="C49" s="32" t="s">
        <v>156</v>
      </c>
      <c r="D49" s="40"/>
      <c r="E49" s="40"/>
      <c r="F49" s="40"/>
      <c r="G49" s="40"/>
      <c r="H49" s="40"/>
      <c r="I49" s="40"/>
      <c r="J49" s="40"/>
      <c r="K49" s="40"/>
      <c r="L49" s="40"/>
    </row>
    <row r="50" spans="1:62" ht="12.75">
      <c r="A50" s="10" t="s">
        <v>20</v>
      </c>
      <c r="B50" s="10" t="s">
        <v>73</v>
      </c>
      <c r="C50" s="10" t="s">
        <v>157</v>
      </c>
      <c r="D50" s="38"/>
      <c r="E50" s="38"/>
      <c r="F50" s="10" t="s">
        <v>263</v>
      </c>
      <c r="G50" s="47">
        <v>69</v>
      </c>
      <c r="H50" s="47">
        <v>0</v>
      </c>
      <c r="I50" s="47">
        <f>G50*AO50</f>
        <v>0</v>
      </c>
      <c r="J50" s="47">
        <f>G50*AP50</f>
        <v>0</v>
      </c>
      <c r="K50" s="47">
        <f>G50*H50</f>
        <v>0</v>
      </c>
      <c r="L50" s="68" t="s">
        <v>285</v>
      </c>
      <c r="Z50" s="74">
        <f>IF(AQ50="5",BJ50,0)</f>
        <v>0</v>
      </c>
      <c r="AB50" s="74">
        <f>IF(AQ50="1",BH50,0)</f>
        <v>0</v>
      </c>
      <c r="AC50" s="74">
        <f>IF(AQ50="1",BI50,0)</f>
        <v>0</v>
      </c>
      <c r="AD50" s="74">
        <f>IF(AQ50="7",BH50,0)</f>
        <v>0</v>
      </c>
      <c r="AE50" s="74">
        <f>IF(AQ50="7",BI50,0)</f>
        <v>0</v>
      </c>
      <c r="AF50" s="74">
        <f>IF(AQ50="2",BH50,0)</f>
        <v>0</v>
      </c>
      <c r="AG50" s="74">
        <f>IF(AQ50="2",BI50,0)</f>
        <v>0</v>
      </c>
      <c r="AH50" s="74">
        <f>IF(AQ50="0",BJ50,0)</f>
        <v>0</v>
      </c>
      <c r="AI50" s="69"/>
      <c r="AJ50" s="47">
        <f>IF(AN50=0,K50,0)</f>
        <v>0</v>
      </c>
      <c r="AK50" s="47">
        <f>IF(AN50=15,K50,0)</f>
        <v>0</v>
      </c>
      <c r="AL50" s="47">
        <f>IF(AN50=21,K50,0)</f>
        <v>0</v>
      </c>
      <c r="AN50" s="74">
        <v>21</v>
      </c>
      <c r="AO50" s="74">
        <f>H50*0.162380952380952</f>
        <v>0</v>
      </c>
      <c r="AP50" s="74">
        <f>H50*(1-0.162380952380952)</f>
        <v>0</v>
      </c>
      <c r="AQ50" s="68" t="s">
        <v>7</v>
      </c>
      <c r="AV50" s="74">
        <f>AW50+AX50</f>
        <v>0</v>
      </c>
      <c r="AW50" s="74">
        <f>G50*AO50</f>
        <v>0</v>
      </c>
      <c r="AX50" s="74">
        <f>G50*AP50</f>
        <v>0</v>
      </c>
      <c r="AY50" s="75" t="s">
        <v>302</v>
      </c>
      <c r="AZ50" s="75" t="s">
        <v>310</v>
      </c>
      <c r="BA50" s="69" t="s">
        <v>313</v>
      </c>
      <c r="BC50" s="74">
        <f>AW50+AX50</f>
        <v>0</v>
      </c>
      <c r="BD50" s="74">
        <f>H50/(100-BE50)*100</f>
        <v>0</v>
      </c>
      <c r="BE50" s="74">
        <v>0</v>
      </c>
      <c r="BF50" s="74">
        <f>50</f>
        <v>50</v>
      </c>
      <c r="BH50" s="47">
        <f>G50*AO50</f>
        <v>0</v>
      </c>
      <c r="BI50" s="47">
        <f>G50*AP50</f>
        <v>0</v>
      </c>
      <c r="BJ50" s="47">
        <f>G50*H50</f>
        <v>0</v>
      </c>
    </row>
    <row r="51" spans="1:62" ht="12.75">
      <c r="A51" s="10" t="s">
        <v>21</v>
      </c>
      <c r="B51" s="10" t="s">
        <v>74</v>
      </c>
      <c r="C51" s="10" t="s">
        <v>158</v>
      </c>
      <c r="D51" s="38"/>
      <c r="E51" s="38"/>
      <c r="F51" s="10" t="s">
        <v>263</v>
      </c>
      <c r="G51" s="47">
        <v>69</v>
      </c>
      <c r="H51" s="47">
        <v>0</v>
      </c>
      <c r="I51" s="47">
        <f>G51*AO51</f>
        <v>0</v>
      </c>
      <c r="J51" s="47">
        <f>G51*AP51</f>
        <v>0</v>
      </c>
      <c r="K51" s="47">
        <f>G51*H51</f>
        <v>0</v>
      </c>
      <c r="L51" s="68" t="s">
        <v>286</v>
      </c>
      <c r="Z51" s="74">
        <f>IF(AQ51="5",BJ51,0)</f>
        <v>0</v>
      </c>
      <c r="AB51" s="74">
        <f>IF(AQ51="1",BH51,0)</f>
        <v>0</v>
      </c>
      <c r="AC51" s="74">
        <f>IF(AQ51="1",BI51,0)</f>
        <v>0</v>
      </c>
      <c r="AD51" s="74">
        <f>IF(AQ51="7",BH51,0)</f>
        <v>0</v>
      </c>
      <c r="AE51" s="74">
        <f>IF(AQ51="7",BI51,0)</f>
        <v>0</v>
      </c>
      <c r="AF51" s="74">
        <f>IF(AQ51="2",BH51,0)</f>
        <v>0</v>
      </c>
      <c r="AG51" s="74">
        <f>IF(AQ51="2",BI51,0)</f>
        <v>0</v>
      </c>
      <c r="AH51" s="74">
        <f>IF(AQ51="0",BJ51,0)</f>
        <v>0</v>
      </c>
      <c r="AI51" s="69"/>
      <c r="AJ51" s="47">
        <f>IF(AN51=0,K51,0)</f>
        <v>0</v>
      </c>
      <c r="AK51" s="47">
        <f>IF(AN51=15,K51,0)</f>
        <v>0</v>
      </c>
      <c r="AL51" s="47">
        <f>IF(AN51=21,K51,0)</f>
        <v>0</v>
      </c>
      <c r="AN51" s="74">
        <v>21</v>
      </c>
      <c r="AO51" s="74">
        <f>H51*0</f>
        <v>0</v>
      </c>
      <c r="AP51" s="74">
        <f>H51*(1-0)</f>
        <v>0</v>
      </c>
      <c r="AQ51" s="68" t="s">
        <v>7</v>
      </c>
      <c r="AV51" s="74">
        <f>AW51+AX51</f>
        <v>0</v>
      </c>
      <c r="AW51" s="74">
        <f>G51*AO51</f>
        <v>0</v>
      </c>
      <c r="AX51" s="74">
        <f>G51*AP51</f>
        <v>0</v>
      </c>
      <c r="AY51" s="75" t="s">
        <v>302</v>
      </c>
      <c r="AZ51" s="75" t="s">
        <v>310</v>
      </c>
      <c r="BA51" s="69" t="s">
        <v>313</v>
      </c>
      <c r="BC51" s="74">
        <f>AW51+AX51</f>
        <v>0</v>
      </c>
      <c r="BD51" s="74">
        <f>H51/(100-BE51)*100</f>
        <v>0</v>
      </c>
      <c r="BE51" s="74">
        <v>0</v>
      </c>
      <c r="BF51" s="74">
        <f>51</f>
        <v>51</v>
      </c>
      <c r="BH51" s="47">
        <f>G51*AO51</f>
        <v>0</v>
      </c>
      <c r="BI51" s="47">
        <f>G51*AP51</f>
        <v>0</v>
      </c>
      <c r="BJ51" s="47">
        <f>G51*H51</f>
        <v>0</v>
      </c>
    </row>
    <row r="52" spans="2:12" ht="12.75">
      <c r="B52" s="24" t="s">
        <v>60</v>
      </c>
      <c r="C52" s="32" t="s">
        <v>159</v>
      </c>
      <c r="D52" s="40"/>
      <c r="E52" s="40"/>
      <c r="F52" s="40"/>
      <c r="G52" s="40"/>
      <c r="H52" s="40"/>
      <c r="I52" s="40"/>
      <c r="J52" s="40"/>
      <c r="K52" s="40"/>
      <c r="L52" s="40"/>
    </row>
    <row r="53" spans="1:47" ht="12.75">
      <c r="A53" s="11"/>
      <c r="B53" s="25" t="s">
        <v>25</v>
      </c>
      <c r="C53" s="25" t="s">
        <v>160</v>
      </c>
      <c r="D53" s="41"/>
      <c r="E53" s="41"/>
      <c r="F53" s="11" t="s">
        <v>6</v>
      </c>
      <c r="G53" s="11" t="s">
        <v>6</v>
      </c>
      <c r="H53" s="11" t="s">
        <v>6</v>
      </c>
      <c r="I53" s="77">
        <f>SUM(I54:I54)</f>
        <v>0</v>
      </c>
      <c r="J53" s="77">
        <f>SUM(J54:J54)</f>
        <v>0</v>
      </c>
      <c r="K53" s="77">
        <f>SUM(K54:K54)</f>
        <v>0</v>
      </c>
      <c r="L53" s="69"/>
      <c r="AI53" s="69"/>
      <c r="AS53" s="77">
        <f>SUM(AJ54:AJ54)</f>
        <v>0</v>
      </c>
      <c r="AT53" s="77">
        <f>SUM(AK54:AK54)</f>
        <v>0</v>
      </c>
      <c r="AU53" s="77">
        <f>SUM(AL54:AL54)</f>
        <v>0</v>
      </c>
    </row>
    <row r="54" spans="1:62" ht="12.75">
      <c r="A54" s="10" t="s">
        <v>22</v>
      </c>
      <c r="B54" s="10" t="s">
        <v>75</v>
      </c>
      <c r="C54" s="10" t="s">
        <v>161</v>
      </c>
      <c r="D54" s="38"/>
      <c r="E54" s="38"/>
      <c r="F54" s="10" t="s">
        <v>265</v>
      </c>
      <c r="G54" s="47">
        <v>84</v>
      </c>
      <c r="H54" s="47">
        <v>0</v>
      </c>
      <c r="I54" s="47">
        <f>G54*AO54</f>
        <v>0</v>
      </c>
      <c r="J54" s="47">
        <f>G54*AP54</f>
        <v>0</v>
      </c>
      <c r="K54" s="47">
        <f>G54*H54</f>
        <v>0</v>
      </c>
      <c r="L54" s="68" t="s">
        <v>285</v>
      </c>
      <c r="Z54" s="74">
        <f>IF(AQ54="5",BJ54,0)</f>
        <v>0</v>
      </c>
      <c r="AB54" s="74">
        <f>IF(AQ54="1",BH54,0)</f>
        <v>0</v>
      </c>
      <c r="AC54" s="74">
        <f>IF(AQ54="1",BI54,0)</f>
        <v>0</v>
      </c>
      <c r="AD54" s="74">
        <f>IF(AQ54="7",BH54,0)</f>
        <v>0</v>
      </c>
      <c r="AE54" s="74">
        <f>IF(AQ54="7",BI54,0)</f>
        <v>0</v>
      </c>
      <c r="AF54" s="74">
        <f>IF(AQ54="2",BH54,0)</f>
        <v>0</v>
      </c>
      <c r="AG54" s="74">
        <f>IF(AQ54="2",BI54,0)</f>
        <v>0</v>
      </c>
      <c r="AH54" s="74">
        <f>IF(AQ54="0",BJ54,0)</f>
        <v>0</v>
      </c>
      <c r="AI54" s="69"/>
      <c r="AJ54" s="47">
        <f>IF(AN54=0,K54,0)</f>
        <v>0</v>
      </c>
      <c r="AK54" s="47">
        <f>IF(AN54=15,K54,0)</f>
        <v>0</v>
      </c>
      <c r="AL54" s="47">
        <f>IF(AN54=21,K54,0)</f>
        <v>0</v>
      </c>
      <c r="AN54" s="74">
        <v>21</v>
      </c>
      <c r="AO54" s="74">
        <f>H54*0</f>
        <v>0</v>
      </c>
      <c r="AP54" s="74">
        <f>H54*(1-0)</f>
        <v>0</v>
      </c>
      <c r="AQ54" s="68" t="s">
        <v>7</v>
      </c>
      <c r="AV54" s="74">
        <f>AW54+AX54</f>
        <v>0</v>
      </c>
      <c r="AW54" s="74">
        <f>G54*AO54</f>
        <v>0</v>
      </c>
      <c r="AX54" s="74">
        <f>G54*AP54</f>
        <v>0</v>
      </c>
      <c r="AY54" s="75" t="s">
        <v>303</v>
      </c>
      <c r="AZ54" s="75" t="s">
        <v>310</v>
      </c>
      <c r="BA54" s="69" t="s">
        <v>313</v>
      </c>
      <c r="BC54" s="74">
        <f>AW54+AX54</f>
        <v>0</v>
      </c>
      <c r="BD54" s="74">
        <f>H54/(100-BE54)*100</f>
        <v>0</v>
      </c>
      <c r="BE54" s="74">
        <v>0</v>
      </c>
      <c r="BF54" s="74">
        <f>54</f>
        <v>54</v>
      </c>
      <c r="BH54" s="47">
        <f>G54*AO54</f>
        <v>0</v>
      </c>
      <c r="BI54" s="47">
        <f>G54*AP54</f>
        <v>0</v>
      </c>
      <c r="BJ54" s="47">
        <f>G54*H54</f>
        <v>0</v>
      </c>
    </row>
    <row r="55" spans="1:47" ht="12.75">
      <c r="A55" s="11"/>
      <c r="B55" s="25" t="s">
        <v>76</v>
      </c>
      <c r="C55" s="25" t="s">
        <v>162</v>
      </c>
      <c r="D55" s="41"/>
      <c r="E55" s="41"/>
      <c r="F55" s="11" t="s">
        <v>6</v>
      </c>
      <c r="G55" s="11" t="s">
        <v>6</v>
      </c>
      <c r="H55" s="11" t="s">
        <v>6</v>
      </c>
      <c r="I55" s="77">
        <f>SUM(I56:I64)</f>
        <v>0</v>
      </c>
      <c r="J55" s="77">
        <f>SUM(J56:J64)</f>
        <v>0</v>
      </c>
      <c r="K55" s="77">
        <f>SUM(K56:K64)</f>
        <v>0</v>
      </c>
      <c r="L55" s="69"/>
      <c r="AI55" s="69"/>
      <c r="AS55" s="77">
        <f>SUM(AJ56:AJ64)</f>
        <v>0</v>
      </c>
      <c r="AT55" s="77">
        <f>SUM(AK56:AK64)</f>
        <v>0</v>
      </c>
      <c r="AU55" s="77">
        <f>SUM(AL56:AL64)</f>
        <v>0</v>
      </c>
    </row>
    <row r="56" spans="1:62" ht="12.75">
      <c r="A56" s="10" t="s">
        <v>23</v>
      </c>
      <c r="B56" s="10" t="s">
        <v>77</v>
      </c>
      <c r="C56" s="10" t="s">
        <v>163</v>
      </c>
      <c r="D56" s="38"/>
      <c r="E56" s="38"/>
      <c r="F56" s="10" t="s">
        <v>263</v>
      </c>
      <c r="G56" s="47">
        <v>311</v>
      </c>
      <c r="H56" s="47">
        <v>0</v>
      </c>
      <c r="I56" s="47">
        <f>G56*AO56</f>
        <v>0</v>
      </c>
      <c r="J56" s="47">
        <f>G56*AP56</f>
        <v>0</v>
      </c>
      <c r="K56" s="47">
        <f>G56*H56</f>
        <v>0</v>
      </c>
      <c r="L56" s="68" t="s">
        <v>285</v>
      </c>
      <c r="Z56" s="74">
        <f>IF(AQ56="5",BJ56,0)</f>
        <v>0</v>
      </c>
      <c r="AB56" s="74">
        <f>IF(AQ56="1",BH56,0)</f>
        <v>0</v>
      </c>
      <c r="AC56" s="74">
        <f>IF(AQ56="1",BI56,0)</f>
        <v>0</v>
      </c>
      <c r="AD56" s="74">
        <f>IF(AQ56="7",BH56,0)</f>
        <v>0</v>
      </c>
      <c r="AE56" s="74">
        <f>IF(AQ56="7",BI56,0)</f>
        <v>0</v>
      </c>
      <c r="AF56" s="74">
        <f>IF(AQ56="2",BH56,0)</f>
        <v>0</v>
      </c>
      <c r="AG56" s="74">
        <f>IF(AQ56="2",BI56,0)</f>
        <v>0</v>
      </c>
      <c r="AH56" s="74">
        <f>IF(AQ56="0",BJ56,0)</f>
        <v>0</v>
      </c>
      <c r="AI56" s="69"/>
      <c r="AJ56" s="47">
        <f>IF(AN56=0,K56,0)</f>
        <v>0</v>
      </c>
      <c r="AK56" s="47">
        <f>IF(AN56=15,K56,0)</f>
        <v>0</v>
      </c>
      <c r="AL56" s="47">
        <f>IF(AN56=21,K56,0)</f>
        <v>0</v>
      </c>
      <c r="AN56" s="74">
        <v>21</v>
      </c>
      <c r="AO56" s="74">
        <f>H56*0.865915492957746</f>
        <v>0</v>
      </c>
      <c r="AP56" s="74">
        <f>H56*(1-0.865915492957746)</f>
        <v>0</v>
      </c>
      <c r="AQ56" s="68" t="s">
        <v>7</v>
      </c>
      <c r="AV56" s="74">
        <f>AW56+AX56</f>
        <v>0</v>
      </c>
      <c r="AW56" s="74">
        <f>G56*AO56</f>
        <v>0</v>
      </c>
      <c r="AX56" s="74">
        <f>G56*AP56</f>
        <v>0</v>
      </c>
      <c r="AY56" s="75" t="s">
        <v>304</v>
      </c>
      <c r="AZ56" s="75" t="s">
        <v>311</v>
      </c>
      <c r="BA56" s="69" t="s">
        <v>313</v>
      </c>
      <c r="BC56" s="74">
        <f>AW56+AX56</f>
        <v>0</v>
      </c>
      <c r="BD56" s="74">
        <f>H56/(100-BE56)*100</f>
        <v>0</v>
      </c>
      <c r="BE56" s="74">
        <v>0</v>
      </c>
      <c r="BF56" s="74">
        <f>56</f>
        <v>56</v>
      </c>
      <c r="BH56" s="47">
        <f>G56*AO56</f>
        <v>0</v>
      </c>
      <c r="BI56" s="47">
        <f>G56*AP56</f>
        <v>0</v>
      </c>
      <c r="BJ56" s="47">
        <f>G56*H56</f>
        <v>0</v>
      </c>
    </row>
    <row r="57" spans="3:7" ht="12.75">
      <c r="C57" s="31" t="s">
        <v>164</v>
      </c>
      <c r="D57" s="39"/>
      <c r="E57" s="39"/>
      <c r="G57" s="48">
        <v>217</v>
      </c>
    </row>
    <row r="58" spans="3:7" ht="12.75">
      <c r="C58" s="31" t="s">
        <v>123</v>
      </c>
      <c r="D58" s="39"/>
      <c r="E58" s="39"/>
      <c r="G58" s="48">
        <v>14</v>
      </c>
    </row>
    <row r="59" spans="3:7" ht="12.75">
      <c r="C59" s="31" t="s">
        <v>165</v>
      </c>
      <c r="D59" s="39"/>
      <c r="E59" s="39"/>
      <c r="G59" s="48">
        <v>80</v>
      </c>
    </row>
    <row r="60" spans="1:62" ht="12.75">
      <c r="A60" s="10" t="s">
        <v>24</v>
      </c>
      <c r="B60" s="10" t="s">
        <v>78</v>
      </c>
      <c r="C60" s="10" t="s">
        <v>166</v>
      </c>
      <c r="D60" s="38"/>
      <c r="E60" s="38"/>
      <c r="F60" s="10" t="s">
        <v>263</v>
      </c>
      <c r="G60" s="47">
        <v>193</v>
      </c>
      <c r="H60" s="47">
        <v>0</v>
      </c>
      <c r="I60" s="47">
        <f>G60*AO60</f>
        <v>0</v>
      </c>
      <c r="J60" s="47">
        <f>G60*AP60</f>
        <v>0</v>
      </c>
      <c r="K60" s="47">
        <f>G60*H60</f>
        <v>0</v>
      </c>
      <c r="L60" s="68" t="s">
        <v>285</v>
      </c>
      <c r="Z60" s="74">
        <f>IF(AQ60="5",BJ60,0)</f>
        <v>0</v>
      </c>
      <c r="AB60" s="74">
        <f>IF(AQ60="1",BH60,0)</f>
        <v>0</v>
      </c>
      <c r="AC60" s="74">
        <f>IF(AQ60="1",BI60,0)</f>
        <v>0</v>
      </c>
      <c r="AD60" s="74">
        <f>IF(AQ60="7",BH60,0)</f>
        <v>0</v>
      </c>
      <c r="AE60" s="74">
        <f>IF(AQ60="7",BI60,0)</f>
        <v>0</v>
      </c>
      <c r="AF60" s="74">
        <f>IF(AQ60="2",BH60,0)</f>
        <v>0</v>
      </c>
      <c r="AG60" s="74">
        <f>IF(AQ60="2",BI60,0)</f>
        <v>0</v>
      </c>
      <c r="AH60" s="74">
        <f>IF(AQ60="0",BJ60,0)</f>
        <v>0</v>
      </c>
      <c r="AI60" s="69"/>
      <c r="AJ60" s="47">
        <f>IF(AN60=0,K60,0)</f>
        <v>0</v>
      </c>
      <c r="AK60" s="47">
        <f>IF(AN60=15,K60,0)</f>
        <v>0</v>
      </c>
      <c r="AL60" s="47">
        <f>IF(AN60=21,K60,0)</f>
        <v>0</v>
      </c>
      <c r="AN60" s="74">
        <v>21</v>
      </c>
      <c r="AO60" s="74">
        <f>H60*0.83535390199637</f>
        <v>0</v>
      </c>
      <c r="AP60" s="74">
        <f>H60*(1-0.83535390199637)</f>
        <v>0</v>
      </c>
      <c r="AQ60" s="68" t="s">
        <v>7</v>
      </c>
      <c r="AV60" s="74">
        <f>AW60+AX60</f>
        <v>0</v>
      </c>
      <c r="AW60" s="74">
        <f>G60*AO60</f>
        <v>0</v>
      </c>
      <c r="AX60" s="74">
        <f>G60*AP60</f>
        <v>0</v>
      </c>
      <c r="AY60" s="75" t="s">
        <v>304</v>
      </c>
      <c r="AZ60" s="75" t="s">
        <v>311</v>
      </c>
      <c r="BA60" s="69" t="s">
        <v>313</v>
      </c>
      <c r="BC60" s="74">
        <f>AW60+AX60</f>
        <v>0</v>
      </c>
      <c r="BD60" s="74">
        <f>H60/(100-BE60)*100</f>
        <v>0</v>
      </c>
      <c r="BE60" s="74">
        <v>0</v>
      </c>
      <c r="BF60" s="74">
        <f>60</f>
        <v>60</v>
      </c>
      <c r="BH60" s="47">
        <f>G60*AO60</f>
        <v>0</v>
      </c>
      <c r="BI60" s="47">
        <f>G60*AP60</f>
        <v>0</v>
      </c>
      <c r="BJ60" s="47">
        <f>G60*H60</f>
        <v>0</v>
      </c>
    </row>
    <row r="61" spans="3:7" ht="12.75">
      <c r="C61" s="31" t="s">
        <v>167</v>
      </c>
      <c r="D61" s="39"/>
      <c r="E61" s="39"/>
      <c r="G61" s="48">
        <v>193</v>
      </c>
    </row>
    <row r="62" spans="1:62" ht="12.75">
      <c r="A62" s="10" t="s">
        <v>25</v>
      </c>
      <c r="B62" s="10" t="s">
        <v>79</v>
      </c>
      <c r="C62" s="10" t="s">
        <v>168</v>
      </c>
      <c r="D62" s="38"/>
      <c r="E62" s="38"/>
      <c r="F62" s="10" t="s">
        <v>263</v>
      </c>
      <c r="G62" s="47">
        <v>23.2</v>
      </c>
      <c r="H62" s="47">
        <v>0</v>
      </c>
      <c r="I62" s="47">
        <f>G62*AO62</f>
        <v>0</v>
      </c>
      <c r="J62" s="47">
        <f>G62*AP62</f>
        <v>0</v>
      </c>
      <c r="K62" s="47">
        <f>G62*H62</f>
        <v>0</v>
      </c>
      <c r="L62" s="68" t="s">
        <v>285</v>
      </c>
      <c r="Z62" s="74">
        <f>IF(AQ62="5",BJ62,0)</f>
        <v>0</v>
      </c>
      <c r="AB62" s="74">
        <f>IF(AQ62="1",BH62,0)</f>
        <v>0</v>
      </c>
      <c r="AC62" s="74">
        <f>IF(AQ62="1",BI62,0)</f>
        <v>0</v>
      </c>
      <c r="AD62" s="74">
        <f>IF(AQ62="7",BH62,0)</f>
        <v>0</v>
      </c>
      <c r="AE62" s="74">
        <f>IF(AQ62="7",BI62,0)</f>
        <v>0</v>
      </c>
      <c r="AF62" s="74">
        <f>IF(AQ62="2",BH62,0)</f>
        <v>0</v>
      </c>
      <c r="AG62" s="74">
        <f>IF(AQ62="2",BI62,0)</f>
        <v>0</v>
      </c>
      <c r="AH62" s="74">
        <f>IF(AQ62="0",BJ62,0)</f>
        <v>0</v>
      </c>
      <c r="AI62" s="69"/>
      <c r="AJ62" s="47">
        <f>IF(AN62=0,K62,0)</f>
        <v>0</v>
      </c>
      <c r="AK62" s="47">
        <f>IF(AN62=15,K62,0)</f>
        <v>0</v>
      </c>
      <c r="AL62" s="47">
        <f>IF(AN62=21,K62,0)</f>
        <v>0</v>
      </c>
      <c r="AN62" s="74">
        <v>21</v>
      </c>
      <c r="AO62" s="74">
        <f>H62*0.880922063666301</f>
        <v>0</v>
      </c>
      <c r="AP62" s="74">
        <f>H62*(1-0.880922063666301)</f>
        <v>0</v>
      </c>
      <c r="AQ62" s="68" t="s">
        <v>7</v>
      </c>
      <c r="AV62" s="74">
        <f>AW62+AX62</f>
        <v>0</v>
      </c>
      <c r="AW62" s="74">
        <f>G62*AO62</f>
        <v>0</v>
      </c>
      <c r="AX62" s="74">
        <f>G62*AP62</f>
        <v>0</v>
      </c>
      <c r="AY62" s="75" t="s">
        <v>304</v>
      </c>
      <c r="AZ62" s="75" t="s">
        <v>311</v>
      </c>
      <c r="BA62" s="69" t="s">
        <v>313</v>
      </c>
      <c r="BC62" s="74">
        <f>AW62+AX62</f>
        <v>0</v>
      </c>
      <c r="BD62" s="74">
        <f>H62/(100-BE62)*100</f>
        <v>0</v>
      </c>
      <c r="BE62" s="74">
        <v>0</v>
      </c>
      <c r="BF62" s="74">
        <f>62</f>
        <v>62</v>
      </c>
      <c r="BH62" s="47">
        <f>G62*AO62</f>
        <v>0</v>
      </c>
      <c r="BI62" s="47">
        <f>G62*AP62</f>
        <v>0</v>
      </c>
      <c r="BJ62" s="47">
        <f>G62*H62</f>
        <v>0</v>
      </c>
    </row>
    <row r="63" spans="3:7" ht="12.75">
      <c r="C63" s="31" t="s">
        <v>169</v>
      </c>
      <c r="D63" s="39"/>
      <c r="E63" s="39"/>
      <c r="G63" s="48">
        <v>23.2</v>
      </c>
    </row>
    <row r="64" spans="1:62" ht="12.75">
      <c r="A64" s="10" t="s">
        <v>26</v>
      </c>
      <c r="B64" s="10" t="s">
        <v>80</v>
      </c>
      <c r="C64" s="10" t="s">
        <v>170</v>
      </c>
      <c r="D64" s="38"/>
      <c r="E64" s="38"/>
      <c r="F64" s="10" t="s">
        <v>263</v>
      </c>
      <c r="G64" s="47">
        <v>24</v>
      </c>
      <c r="H64" s="47">
        <v>0</v>
      </c>
      <c r="I64" s="47">
        <f>G64*AO64</f>
        <v>0</v>
      </c>
      <c r="J64" s="47">
        <f>G64*AP64</f>
        <v>0</v>
      </c>
      <c r="K64" s="47">
        <f>G64*H64</f>
        <v>0</v>
      </c>
      <c r="L64" s="68" t="s">
        <v>285</v>
      </c>
      <c r="Z64" s="74">
        <f>IF(AQ64="5",BJ64,0)</f>
        <v>0</v>
      </c>
      <c r="AB64" s="74">
        <f>IF(AQ64="1",BH64,0)</f>
        <v>0</v>
      </c>
      <c r="AC64" s="74">
        <f>IF(AQ64="1",BI64,0)</f>
        <v>0</v>
      </c>
      <c r="AD64" s="74">
        <f>IF(AQ64="7",BH64,0)</f>
        <v>0</v>
      </c>
      <c r="AE64" s="74">
        <f>IF(AQ64="7",BI64,0)</f>
        <v>0</v>
      </c>
      <c r="AF64" s="74">
        <f>IF(AQ64="2",BH64,0)</f>
        <v>0</v>
      </c>
      <c r="AG64" s="74">
        <f>IF(AQ64="2",BI64,0)</f>
        <v>0</v>
      </c>
      <c r="AH64" s="74">
        <f>IF(AQ64="0",BJ64,0)</f>
        <v>0</v>
      </c>
      <c r="AI64" s="69"/>
      <c r="AJ64" s="47">
        <f>IF(AN64=0,K64,0)</f>
        <v>0</v>
      </c>
      <c r="AK64" s="47">
        <f>IF(AN64=15,K64,0)</f>
        <v>0</v>
      </c>
      <c r="AL64" s="47">
        <f>IF(AN64=21,K64,0)</f>
        <v>0</v>
      </c>
      <c r="AN64" s="74">
        <v>21</v>
      </c>
      <c r="AO64" s="74">
        <f>H64*0.894741506646972</f>
        <v>0</v>
      </c>
      <c r="AP64" s="74">
        <f>H64*(1-0.894741506646972)</f>
        <v>0</v>
      </c>
      <c r="AQ64" s="68" t="s">
        <v>7</v>
      </c>
      <c r="AV64" s="74">
        <f>AW64+AX64</f>
        <v>0</v>
      </c>
      <c r="AW64" s="74">
        <f>G64*AO64</f>
        <v>0</v>
      </c>
      <c r="AX64" s="74">
        <f>G64*AP64</f>
        <v>0</v>
      </c>
      <c r="AY64" s="75" t="s">
        <v>304</v>
      </c>
      <c r="AZ64" s="75" t="s">
        <v>311</v>
      </c>
      <c r="BA64" s="69" t="s">
        <v>313</v>
      </c>
      <c r="BC64" s="74">
        <f>AW64+AX64</f>
        <v>0</v>
      </c>
      <c r="BD64" s="74">
        <f>H64/(100-BE64)*100</f>
        <v>0</v>
      </c>
      <c r="BE64" s="74">
        <v>0</v>
      </c>
      <c r="BF64" s="74">
        <f>64</f>
        <v>64</v>
      </c>
      <c r="BH64" s="47">
        <f>G64*AO64</f>
        <v>0</v>
      </c>
      <c r="BI64" s="47">
        <f>G64*AP64</f>
        <v>0</v>
      </c>
      <c r="BJ64" s="47">
        <f>G64*H64</f>
        <v>0</v>
      </c>
    </row>
    <row r="65" spans="3:7" ht="12.75">
      <c r="C65" s="31" t="s">
        <v>171</v>
      </c>
      <c r="D65" s="39"/>
      <c r="E65" s="39"/>
      <c r="G65" s="48">
        <v>24</v>
      </c>
    </row>
    <row r="66" spans="1:47" ht="12.75">
      <c r="A66" s="11"/>
      <c r="B66" s="25" t="s">
        <v>81</v>
      </c>
      <c r="C66" s="25" t="s">
        <v>172</v>
      </c>
      <c r="D66" s="41"/>
      <c r="E66" s="41"/>
      <c r="F66" s="11" t="s">
        <v>6</v>
      </c>
      <c r="G66" s="11" t="s">
        <v>6</v>
      </c>
      <c r="H66" s="11" t="s">
        <v>6</v>
      </c>
      <c r="I66" s="77">
        <f>SUM(I67:I69)</f>
        <v>0</v>
      </c>
      <c r="J66" s="77">
        <f>SUM(J67:J69)</f>
        <v>0</v>
      </c>
      <c r="K66" s="77">
        <f>SUM(K67:K69)</f>
        <v>0</v>
      </c>
      <c r="L66" s="69"/>
      <c r="AI66" s="69"/>
      <c r="AS66" s="77">
        <f>SUM(AJ67:AJ69)</f>
        <v>0</v>
      </c>
      <c r="AT66" s="77">
        <f>SUM(AK67:AK69)</f>
        <v>0</v>
      </c>
      <c r="AU66" s="77">
        <f>SUM(AL67:AL69)</f>
        <v>0</v>
      </c>
    </row>
    <row r="67" spans="1:62" ht="12.75">
      <c r="A67" s="10" t="s">
        <v>27</v>
      </c>
      <c r="B67" s="10" t="s">
        <v>82</v>
      </c>
      <c r="C67" s="10" t="s">
        <v>173</v>
      </c>
      <c r="D67" s="38"/>
      <c r="E67" s="38"/>
      <c r="F67" s="10" t="s">
        <v>263</v>
      </c>
      <c r="G67" s="47">
        <v>58</v>
      </c>
      <c r="H67" s="47">
        <v>0</v>
      </c>
      <c r="I67" s="47">
        <f>G67*AO67</f>
        <v>0</v>
      </c>
      <c r="J67" s="47">
        <f>G67*AP67</f>
        <v>0</v>
      </c>
      <c r="K67" s="47">
        <f>G67*H67</f>
        <v>0</v>
      </c>
      <c r="L67" s="68" t="s">
        <v>285</v>
      </c>
      <c r="Z67" s="74">
        <f>IF(AQ67="5",BJ67,0)</f>
        <v>0</v>
      </c>
      <c r="AB67" s="74">
        <f>IF(AQ67="1",BH67,0)</f>
        <v>0</v>
      </c>
      <c r="AC67" s="74">
        <f>IF(AQ67="1",BI67,0)</f>
        <v>0</v>
      </c>
      <c r="AD67" s="74">
        <f>IF(AQ67="7",BH67,0)</f>
        <v>0</v>
      </c>
      <c r="AE67" s="74">
        <f>IF(AQ67="7",BI67,0)</f>
        <v>0</v>
      </c>
      <c r="AF67" s="74">
        <f>IF(AQ67="2",BH67,0)</f>
        <v>0</v>
      </c>
      <c r="AG67" s="74">
        <f>IF(AQ67="2",BI67,0)</f>
        <v>0</v>
      </c>
      <c r="AH67" s="74">
        <f>IF(AQ67="0",BJ67,0)</f>
        <v>0</v>
      </c>
      <c r="AI67" s="69"/>
      <c r="AJ67" s="47">
        <f>IF(AN67=0,K67,0)</f>
        <v>0</v>
      </c>
      <c r="AK67" s="47">
        <f>IF(AN67=15,K67,0)</f>
        <v>0</v>
      </c>
      <c r="AL67" s="47">
        <f>IF(AN67=21,K67,0)</f>
        <v>0</v>
      </c>
      <c r="AN67" s="74">
        <v>21</v>
      </c>
      <c r="AO67" s="74">
        <f>H67*0.929157345264728</f>
        <v>0</v>
      </c>
      <c r="AP67" s="74">
        <f>H67*(1-0.929157345264728)</f>
        <v>0</v>
      </c>
      <c r="AQ67" s="68" t="s">
        <v>7</v>
      </c>
      <c r="AV67" s="74">
        <f>AW67+AX67</f>
        <v>0</v>
      </c>
      <c r="AW67" s="74">
        <f>G67*AO67</f>
        <v>0</v>
      </c>
      <c r="AX67" s="74">
        <f>G67*AP67</f>
        <v>0</v>
      </c>
      <c r="AY67" s="75" t="s">
        <v>305</v>
      </c>
      <c r="AZ67" s="75" t="s">
        <v>311</v>
      </c>
      <c r="BA67" s="69" t="s">
        <v>313</v>
      </c>
      <c r="BC67" s="74">
        <f>AW67+AX67</f>
        <v>0</v>
      </c>
      <c r="BD67" s="74">
        <f>H67/(100-BE67)*100</f>
        <v>0</v>
      </c>
      <c r="BE67" s="74">
        <v>0</v>
      </c>
      <c r="BF67" s="74">
        <f>67</f>
        <v>67</v>
      </c>
      <c r="BH67" s="47">
        <f>G67*AO67</f>
        <v>0</v>
      </c>
      <c r="BI67" s="47">
        <f>G67*AP67</f>
        <v>0</v>
      </c>
      <c r="BJ67" s="47">
        <f>G67*H67</f>
        <v>0</v>
      </c>
    </row>
    <row r="68" spans="3:7" ht="12.75">
      <c r="C68" s="31" t="s">
        <v>174</v>
      </c>
      <c r="D68" s="39"/>
      <c r="E68" s="39"/>
      <c r="G68" s="48">
        <v>58</v>
      </c>
    </row>
    <row r="69" spans="1:62" ht="12.75">
      <c r="A69" s="10" t="s">
        <v>28</v>
      </c>
      <c r="B69" s="10" t="s">
        <v>83</v>
      </c>
      <c r="C69" s="10" t="s">
        <v>175</v>
      </c>
      <c r="D69" s="38"/>
      <c r="E69" s="38"/>
      <c r="F69" s="10" t="s">
        <v>263</v>
      </c>
      <c r="G69" s="47">
        <v>34.8</v>
      </c>
      <c r="H69" s="47">
        <v>0</v>
      </c>
      <c r="I69" s="47">
        <f>G69*AO69</f>
        <v>0</v>
      </c>
      <c r="J69" s="47">
        <f>G69*AP69</f>
        <v>0</v>
      </c>
      <c r="K69" s="47">
        <f>G69*H69</f>
        <v>0</v>
      </c>
      <c r="L69" s="68" t="s">
        <v>285</v>
      </c>
      <c r="Z69" s="74">
        <f>IF(AQ69="5",BJ69,0)</f>
        <v>0</v>
      </c>
      <c r="AB69" s="74">
        <f>IF(AQ69="1",BH69,0)</f>
        <v>0</v>
      </c>
      <c r="AC69" s="74">
        <f>IF(AQ69="1",BI69,0)</f>
        <v>0</v>
      </c>
      <c r="AD69" s="74">
        <f>IF(AQ69="7",BH69,0)</f>
        <v>0</v>
      </c>
      <c r="AE69" s="74">
        <f>IF(AQ69="7",BI69,0)</f>
        <v>0</v>
      </c>
      <c r="AF69" s="74">
        <f>IF(AQ69="2",BH69,0)</f>
        <v>0</v>
      </c>
      <c r="AG69" s="74">
        <f>IF(AQ69="2",BI69,0)</f>
        <v>0</v>
      </c>
      <c r="AH69" s="74">
        <f>IF(AQ69="0",BJ69,0)</f>
        <v>0</v>
      </c>
      <c r="AI69" s="69"/>
      <c r="AJ69" s="47">
        <f>IF(AN69=0,K69,0)</f>
        <v>0</v>
      </c>
      <c r="AK69" s="47">
        <f>IF(AN69=15,K69,0)</f>
        <v>0</v>
      </c>
      <c r="AL69" s="47">
        <f>IF(AN69=21,K69,0)</f>
        <v>0</v>
      </c>
      <c r="AN69" s="74">
        <v>21</v>
      </c>
      <c r="AO69" s="74">
        <f>H69*0.9154943273906</f>
        <v>0</v>
      </c>
      <c r="AP69" s="74">
        <f>H69*(1-0.9154943273906)</f>
        <v>0</v>
      </c>
      <c r="AQ69" s="68" t="s">
        <v>7</v>
      </c>
      <c r="AV69" s="74">
        <f>AW69+AX69</f>
        <v>0</v>
      </c>
      <c r="AW69" s="74">
        <f>G69*AO69</f>
        <v>0</v>
      </c>
      <c r="AX69" s="74">
        <f>G69*AP69</f>
        <v>0</v>
      </c>
      <c r="AY69" s="75" t="s">
        <v>305</v>
      </c>
      <c r="AZ69" s="75" t="s">
        <v>311</v>
      </c>
      <c r="BA69" s="69" t="s">
        <v>313</v>
      </c>
      <c r="BC69" s="74">
        <f>AW69+AX69</f>
        <v>0</v>
      </c>
      <c r="BD69" s="74">
        <f>H69/(100-BE69)*100</f>
        <v>0</v>
      </c>
      <c r="BE69" s="74">
        <v>0</v>
      </c>
      <c r="BF69" s="74">
        <f>69</f>
        <v>69</v>
      </c>
      <c r="BH69" s="47">
        <f>G69*AO69</f>
        <v>0</v>
      </c>
      <c r="BI69" s="47">
        <f>G69*AP69</f>
        <v>0</v>
      </c>
      <c r="BJ69" s="47">
        <f>G69*H69</f>
        <v>0</v>
      </c>
    </row>
    <row r="70" spans="3:7" ht="12.75">
      <c r="C70" s="31" t="s">
        <v>176</v>
      </c>
      <c r="D70" s="39"/>
      <c r="E70" s="39"/>
      <c r="G70" s="48">
        <v>34.8</v>
      </c>
    </row>
    <row r="71" spans="1:47" ht="12.75">
      <c r="A71" s="11"/>
      <c r="B71" s="25" t="s">
        <v>84</v>
      </c>
      <c r="C71" s="25" t="s">
        <v>177</v>
      </c>
      <c r="D71" s="41"/>
      <c r="E71" s="41"/>
      <c r="F71" s="11" t="s">
        <v>6</v>
      </c>
      <c r="G71" s="11" t="s">
        <v>6</v>
      </c>
      <c r="H71" s="11" t="s">
        <v>6</v>
      </c>
      <c r="I71" s="77">
        <f>SUM(I72:I100)</f>
        <v>0</v>
      </c>
      <c r="J71" s="77">
        <f>SUM(J72:J100)</f>
        <v>0</v>
      </c>
      <c r="K71" s="77">
        <f>SUM(K72:K100)</f>
        <v>0</v>
      </c>
      <c r="L71" s="69"/>
      <c r="AI71" s="69"/>
      <c r="AS71" s="77">
        <f>SUM(AJ72:AJ100)</f>
        <v>0</v>
      </c>
      <c r="AT71" s="77">
        <f>SUM(AK72:AK100)</f>
        <v>0</v>
      </c>
      <c r="AU71" s="77">
        <f>SUM(AL72:AL100)</f>
        <v>0</v>
      </c>
    </row>
    <row r="72" spans="1:62" ht="12.75">
      <c r="A72" s="10" t="s">
        <v>29</v>
      </c>
      <c r="B72" s="10" t="s">
        <v>85</v>
      </c>
      <c r="C72" s="10" t="s">
        <v>178</v>
      </c>
      <c r="D72" s="38"/>
      <c r="E72" s="38"/>
      <c r="F72" s="10" t="s">
        <v>263</v>
      </c>
      <c r="G72" s="47">
        <v>14</v>
      </c>
      <c r="H72" s="47">
        <v>0</v>
      </c>
      <c r="I72" s="47">
        <f>G72*AO72</f>
        <v>0</v>
      </c>
      <c r="J72" s="47">
        <f>G72*AP72</f>
        <v>0</v>
      </c>
      <c r="K72" s="47">
        <f>G72*H72</f>
        <v>0</v>
      </c>
      <c r="L72" s="68" t="s">
        <v>285</v>
      </c>
      <c r="Z72" s="74">
        <f>IF(AQ72="5",BJ72,0)</f>
        <v>0</v>
      </c>
      <c r="AB72" s="74">
        <f>IF(AQ72="1",BH72,0)</f>
        <v>0</v>
      </c>
      <c r="AC72" s="74">
        <f>IF(AQ72="1",BI72,0)</f>
        <v>0</v>
      </c>
      <c r="AD72" s="74">
        <f>IF(AQ72="7",BH72,0)</f>
        <v>0</v>
      </c>
      <c r="AE72" s="74">
        <f>IF(AQ72="7",BI72,0)</f>
        <v>0</v>
      </c>
      <c r="AF72" s="74">
        <f>IF(AQ72="2",BH72,0)</f>
        <v>0</v>
      </c>
      <c r="AG72" s="74">
        <f>IF(AQ72="2",BI72,0)</f>
        <v>0</v>
      </c>
      <c r="AH72" s="74">
        <f>IF(AQ72="0",BJ72,0)</f>
        <v>0</v>
      </c>
      <c r="AI72" s="69"/>
      <c r="AJ72" s="47">
        <f>IF(AN72=0,K72,0)</f>
        <v>0</v>
      </c>
      <c r="AK72" s="47">
        <f>IF(AN72=15,K72,0)</f>
        <v>0</v>
      </c>
      <c r="AL72" s="47">
        <f>IF(AN72=21,K72,0)</f>
        <v>0</v>
      </c>
      <c r="AN72" s="74">
        <v>21</v>
      </c>
      <c r="AO72" s="74">
        <f>H72*0.170561797752809</f>
        <v>0</v>
      </c>
      <c r="AP72" s="74">
        <f>H72*(1-0.170561797752809)</f>
        <v>0</v>
      </c>
      <c r="AQ72" s="68" t="s">
        <v>7</v>
      </c>
      <c r="AV72" s="74">
        <f>AW72+AX72</f>
        <v>0</v>
      </c>
      <c r="AW72" s="74">
        <f>G72*AO72</f>
        <v>0</v>
      </c>
      <c r="AX72" s="74">
        <f>G72*AP72</f>
        <v>0</v>
      </c>
      <c r="AY72" s="75" t="s">
        <v>306</v>
      </c>
      <c r="AZ72" s="75" t="s">
        <v>311</v>
      </c>
      <c r="BA72" s="69" t="s">
        <v>313</v>
      </c>
      <c r="BC72" s="74">
        <f>AW72+AX72</f>
        <v>0</v>
      </c>
      <c r="BD72" s="74">
        <f>H72/(100-BE72)*100</f>
        <v>0</v>
      </c>
      <c r="BE72" s="74">
        <v>0</v>
      </c>
      <c r="BF72" s="74">
        <f>72</f>
        <v>72</v>
      </c>
      <c r="BH72" s="47">
        <f>G72*AO72</f>
        <v>0</v>
      </c>
      <c r="BI72" s="47">
        <f>G72*AP72</f>
        <v>0</v>
      </c>
      <c r="BJ72" s="47">
        <f>G72*H72</f>
        <v>0</v>
      </c>
    </row>
    <row r="73" spans="3:7" ht="12.75">
      <c r="C73" s="31" t="s">
        <v>179</v>
      </c>
      <c r="D73" s="39"/>
      <c r="E73" s="39"/>
      <c r="G73" s="48">
        <v>14</v>
      </c>
    </row>
    <row r="74" spans="2:12" ht="25.5" customHeight="1">
      <c r="B74" s="24" t="s">
        <v>60</v>
      </c>
      <c r="C74" s="32" t="s">
        <v>180</v>
      </c>
      <c r="D74" s="40"/>
      <c r="E74" s="40"/>
      <c r="F74" s="40"/>
      <c r="G74" s="40"/>
      <c r="H74" s="40"/>
      <c r="I74" s="40"/>
      <c r="J74" s="40"/>
      <c r="K74" s="40"/>
      <c r="L74" s="40"/>
    </row>
    <row r="75" spans="1:62" ht="12.75">
      <c r="A75" s="10" t="s">
        <v>30</v>
      </c>
      <c r="B75" s="10" t="s">
        <v>86</v>
      </c>
      <c r="C75" s="10" t="s">
        <v>181</v>
      </c>
      <c r="D75" s="38"/>
      <c r="E75" s="38"/>
      <c r="F75" s="10" t="s">
        <v>263</v>
      </c>
      <c r="G75" s="47">
        <v>214.1</v>
      </c>
      <c r="H75" s="47">
        <v>0</v>
      </c>
      <c r="I75" s="47">
        <f>G75*AO75</f>
        <v>0</v>
      </c>
      <c r="J75" s="47">
        <f>G75*AP75</f>
        <v>0</v>
      </c>
      <c r="K75" s="47">
        <f>G75*H75</f>
        <v>0</v>
      </c>
      <c r="L75" s="68" t="s">
        <v>285</v>
      </c>
      <c r="Z75" s="74">
        <f>IF(AQ75="5",BJ75,0)</f>
        <v>0</v>
      </c>
      <c r="AB75" s="74">
        <f>IF(AQ75="1",BH75,0)</f>
        <v>0</v>
      </c>
      <c r="AC75" s="74">
        <f>IF(AQ75="1",BI75,0)</f>
        <v>0</v>
      </c>
      <c r="AD75" s="74">
        <f>IF(AQ75="7",BH75,0)</f>
        <v>0</v>
      </c>
      <c r="AE75" s="74">
        <f>IF(AQ75="7",BI75,0)</f>
        <v>0</v>
      </c>
      <c r="AF75" s="74">
        <f>IF(AQ75="2",BH75,0)</f>
        <v>0</v>
      </c>
      <c r="AG75" s="74">
        <f>IF(AQ75="2",BI75,0)</f>
        <v>0</v>
      </c>
      <c r="AH75" s="74">
        <f>IF(AQ75="0",BJ75,0)</f>
        <v>0</v>
      </c>
      <c r="AI75" s="69"/>
      <c r="AJ75" s="47">
        <f>IF(AN75=0,K75,0)</f>
        <v>0</v>
      </c>
      <c r="AK75" s="47">
        <f>IF(AN75=15,K75,0)</f>
        <v>0</v>
      </c>
      <c r="AL75" s="47">
        <f>IF(AN75=21,K75,0)</f>
        <v>0</v>
      </c>
      <c r="AN75" s="74">
        <v>21</v>
      </c>
      <c r="AO75" s="74">
        <f>H75*0.162172559965223</f>
        <v>0</v>
      </c>
      <c r="AP75" s="74">
        <f>H75*(1-0.162172559965223)</f>
        <v>0</v>
      </c>
      <c r="AQ75" s="68" t="s">
        <v>7</v>
      </c>
      <c r="AV75" s="74">
        <f>AW75+AX75</f>
        <v>0</v>
      </c>
      <c r="AW75" s="74">
        <f>G75*AO75</f>
        <v>0</v>
      </c>
      <c r="AX75" s="74">
        <f>G75*AP75</f>
        <v>0</v>
      </c>
      <c r="AY75" s="75" t="s">
        <v>306</v>
      </c>
      <c r="AZ75" s="75" t="s">
        <v>311</v>
      </c>
      <c r="BA75" s="69" t="s">
        <v>313</v>
      </c>
      <c r="BC75" s="74">
        <f>AW75+AX75</f>
        <v>0</v>
      </c>
      <c r="BD75" s="74">
        <f>H75/(100-BE75)*100</f>
        <v>0</v>
      </c>
      <c r="BE75" s="74">
        <v>0</v>
      </c>
      <c r="BF75" s="74">
        <f>75</f>
        <v>75</v>
      </c>
      <c r="BH75" s="47">
        <f>G75*AO75</f>
        <v>0</v>
      </c>
      <c r="BI75" s="47">
        <f>G75*AP75</f>
        <v>0</v>
      </c>
      <c r="BJ75" s="47">
        <f>G75*H75</f>
        <v>0</v>
      </c>
    </row>
    <row r="76" spans="3:7" ht="12.75">
      <c r="C76" s="31" t="s">
        <v>182</v>
      </c>
      <c r="D76" s="39"/>
      <c r="E76" s="39"/>
      <c r="G76" s="48">
        <v>21.1</v>
      </c>
    </row>
    <row r="77" spans="3:7" ht="12.75">
      <c r="C77" s="31" t="s">
        <v>183</v>
      </c>
      <c r="D77" s="39"/>
      <c r="E77" s="39"/>
      <c r="G77" s="48">
        <v>193</v>
      </c>
    </row>
    <row r="78" spans="2:12" ht="25.5" customHeight="1">
      <c r="B78" s="24" t="s">
        <v>60</v>
      </c>
      <c r="C78" s="32" t="s">
        <v>184</v>
      </c>
      <c r="D78" s="40"/>
      <c r="E78" s="40"/>
      <c r="F78" s="40"/>
      <c r="G78" s="40"/>
      <c r="H78" s="40"/>
      <c r="I78" s="40"/>
      <c r="J78" s="40"/>
      <c r="K78" s="40"/>
      <c r="L78" s="40"/>
    </row>
    <row r="79" spans="1:62" ht="12.75">
      <c r="A79" s="12" t="s">
        <v>31</v>
      </c>
      <c r="B79" s="12" t="s">
        <v>87</v>
      </c>
      <c r="C79" s="12" t="s">
        <v>185</v>
      </c>
      <c r="D79" s="42"/>
      <c r="E79" s="42"/>
      <c r="F79" s="12" t="s">
        <v>263</v>
      </c>
      <c r="G79" s="49">
        <v>21.311</v>
      </c>
      <c r="H79" s="49">
        <v>0</v>
      </c>
      <c r="I79" s="49">
        <f>G79*AO79</f>
        <v>0</v>
      </c>
      <c r="J79" s="49">
        <f>G79*AP79</f>
        <v>0</v>
      </c>
      <c r="K79" s="49">
        <f>G79*H79</f>
        <v>0</v>
      </c>
      <c r="L79" s="70" t="s">
        <v>287</v>
      </c>
      <c r="Z79" s="74">
        <f>IF(AQ79="5",BJ79,0)</f>
        <v>0</v>
      </c>
      <c r="AB79" s="74">
        <f>IF(AQ79="1",BH79,0)</f>
        <v>0</v>
      </c>
      <c r="AC79" s="74">
        <f>IF(AQ79="1",BI79,0)</f>
        <v>0</v>
      </c>
      <c r="AD79" s="74">
        <f>IF(AQ79="7",BH79,0)</f>
        <v>0</v>
      </c>
      <c r="AE79" s="74">
        <f>IF(AQ79="7",BI79,0)</f>
        <v>0</v>
      </c>
      <c r="AF79" s="74">
        <f>IF(AQ79="2",BH79,0)</f>
        <v>0</v>
      </c>
      <c r="AG79" s="74">
        <f>IF(AQ79="2",BI79,0)</f>
        <v>0</v>
      </c>
      <c r="AH79" s="74">
        <f>IF(AQ79="0",BJ79,0)</f>
        <v>0</v>
      </c>
      <c r="AI79" s="69"/>
      <c r="AJ79" s="49">
        <f>IF(AN79=0,K79,0)</f>
        <v>0</v>
      </c>
      <c r="AK79" s="49">
        <f>IF(AN79=15,K79,0)</f>
        <v>0</v>
      </c>
      <c r="AL79" s="49">
        <f>IF(AN79=21,K79,0)</f>
        <v>0</v>
      </c>
      <c r="AN79" s="74">
        <v>21</v>
      </c>
      <c r="AO79" s="74">
        <f>H79*1</f>
        <v>0</v>
      </c>
      <c r="AP79" s="74">
        <f>H79*(1-1)</f>
        <v>0</v>
      </c>
      <c r="AQ79" s="70" t="s">
        <v>7</v>
      </c>
      <c r="AV79" s="74">
        <f>AW79+AX79</f>
        <v>0</v>
      </c>
      <c r="AW79" s="74">
        <f>G79*AO79</f>
        <v>0</v>
      </c>
      <c r="AX79" s="74">
        <f>G79*AP79</f>
        <v>0</v>
      </c>
      <c r="AY79" s="75" t="s">
        <v>306</v>
      </c>
      <c r="AZ79" s="75" t="s">
        <v>311</v>
      </c>
      <c r="BA79" s="69" t="s">
        <v>313</v>
      </c>
      <c r="BC79" s="74">
        <f>AW79+AX79</f>
        <v>0</v>
      </c>
      <c r="BD79" s="74">
        <f>H79/(100-BE79)*100</f>
        <v>0</v>
      </c>
      <c r="BE79" s="74">
        <v>0</v>
      </c>
      <c r="BF79" s="74">
        <f>79</f>
        <v>79</v>
      </c>
      <c r="BH79" s="49">
        <f>G79*AO79</f>
        <v>0</v>
      </c>
      <c r="BI79" s="49">
        <f>G79*AP79</f>
        <v>0</v>
      </c>
      <c r="BJ79" s="49">
        <f>G79*H79</f>
        <v>0</v>
      </c>
    </row>
    <row r="80" spans="3:7" ht="12.75">
      <c r="C80" s="31" t="s">
        <v>186</v>
      </c>
      <c r="D80" s="39"/>
      <c r="E80" s="39"/>
      <c r="G80" s="48">
        <v>21.1</v>
      </c>
    </row>
    <row r="81" spans="3:7" ht="12.75">
      <c r="C81" s="31" t="s">
        <v>187</v>
      </c>
      <c r="D81" s="39"/>
      <c r="E81" s="39"/>
      <c r="G81" s="48">
        <v>0.211</v>
      </c>
    </row>
    <row r="82" spans="2:12" ht="12.75">
      <c r="B82" s="24" t="s">
        <v>60</v>
      </c>
      <c r="C82" s="32" t="s">
        <v>188</v>
      </c>
      <c r="D82" s="40"/>
      <c r="E82" s="40"/>
      <c r="F82" s="40"/>
      <c r="G82" s="40"/>
      <c r="H82" s="40"/>
      <c r="I82" s="40"/>
      <c r="J82" s="40"/>
      <c r="K82" s="40"/>
      <c r="L82" s="40"/>
    </row>
    <row r="83" spans="1:62" ht="12.75">
      <c r="A83" s="12" t="s">
        <v>32</v>
      </c>
      <c r="B83" s="12" t="s">
        <v>88</v>
      </c>
      <c r="C83" s="12" t="s">
        <v>189</v>
      </c>
      <c r="D83" s="42"/>
      <c r="E83" s="42"/>
      <c r="F83" s="12" t="s">
        <v>263</v>
      </c>
      <c r="G83" s="49">
        <v>2.02</v>
      </c>
      <c r="H83" s="49">
        <v>0</v>
      </c>
      <c r="I83" s="49">
        <f>G83*AO83</f>
        <v>0</v>
      </c>
      <c r="J83" s="49">
        <f>G83*AP83</f>
        <v>0</v>
      </c>
      <c r="K83" s="49">
        <f>G83*H83</f>
        <v>0</v>
      </c>
      <c r="L83" s="70" t="s">
        <v>285</v>
      </c>
      <c r="Z83" s="74">
        <f>IF(AQ83="5",BJ83,0)</f>
        <v>0</v>
      </c>
      <c r="AB83" s="74">
        <f>IF(AQ83="1",BH83,0)</f>
        <v>0</v>
      </c>
      <c r="AC83" s="74">
        <f>IF(AQ83="1",BI83,0)</f>
        <v>0</v>
      </c>
      <c r="AD83" s="74">
        <f>IF(AQ83="7",BH83,0)</f>
        <v>0</v>
      </c>
      <c r="AE83" s="74">
        <f>IF(AQ83="7",BI83,0)</f>
        <v>0</v>
      </c>
      <c r="AF83" s="74">
        <f>IF(AQ83="2",BH83,0)</f>
        <v>0</v>
      </c>
      <c r="AG83" s="74">
        <f>IF(AQ83="2",BI83,0)</f>
        <v>0</v>
      </c>
      <c r="AH83" s="74">
        <f>IF(AQ83="0",BJ83,0)</f>
        <v>0</v>
      </c>
      <c r="AI83" s="69"/>
      <c r="AJ83" s="49">
        <f>IF(AN83=0,K83,0)</f>
        <v>0</v>
      </c>
      <c r="AK83" s="49">
        <f>IF(AN83=15,K83,0)</f>
        <v>0</v>
      </c>
      <c r="AL83" s="49">
        <f>IF(AN83=21,K83,0)</f>
        <v>0</v>
      </c>
      <c r="AN83" s="74">
        <v>21</v>
      </c>
      <c r="AO83" s="74">
        <f>H83*1</f>
        <v>0</v>
      </c>
      <c r="AP83" s="74">
        <f>H83*(1-1)</f>
        <v>0</v>
      </c>
      <c r="AQ83" s="70" t="s">
        <v>7</v>
      </c>
      <c r="AV83" s="74">
        <f>AW83+AX83</f>
        <v>0</v>
      </c>
      <c r="AW83" s="74">
        <f>G83*AO83</f>
        <v>0</v>
      </c>
      <c r="AX83" s="74">
        <f>G83*AP83</f>
        <v>0</v>
      </c>
      <c r="AY83" s="75" t="s">
        <v>306</v>
      </c>
      <c r="AZ83" s="75" t="s">
        <v>311</v>
      </c>
      <c r="BA83" s="69" t="s">
        <v>313</v>
      </c>
      <c r="BC83" s="74">
        <f>AW83+AX83</f>
        <v>0</v>
      </c>
      <c r="BD83" s="74">
        <f>H83/(100-BE83)*100</f>
        <v>0</v>
      </c>
      <c r="BE83" s="74">
        <v>0</v>
      </c>
      <c r="BF83" s="74">
        <f>83</f>
        <v>83</v>
      </c>
      <c r="BH83" s="49">
        <f>G83*AO83</f>
        <v>0</v>
      </c>
      <c r="BI83" s="49">
        <f>G83*AP83</f>
        <v>0</v>
      </c>
      <c r="BJ83" s="49">
        <f>G83*H83</f>
        <v>0</v>
      </c>
    </row>
    <row r="84" spans="3:7" ht="12.75">
      <c r="C84" s="31" t="s">
        <v>190</v>
      </c>
      <c r="D84" s="39"/>
      <c r="E84" s="39"/>
      <c r="G84" s="48">
        <v>2</v>
      </c>
    </row>
    <row r="85" spans="3:7" ht="12.75">
      <c r="C85" s="31" t="s">
        <v>191</v>
      </c>
      <c r="D85" s="39"/>
      <c r="E85" s="39"/>
      <c r="G85" s="48">
        <v>0.02</v>
      </c>
    </row>
    <row r="86" spans="2:12" ht="38.25" customHeight="1">
      <c r="B86" s="24" t="s">
        <v>60</v>
      </c>
      <c r="C86" s="32" t="s">
        <v>192</v>
      </c>
      <c r="D86" s="40"/>
      <c r="E86" s="40"/>
      <c r="F86" s="40"/>
      <c r="G86" s="40"/>
      <c r="H86" s="40"/>
      <c r="I86" s="40"/>
      <c r="J86" s="40"/>
      <c r="K86" s="40"/>
      <c r="L86" s="40"/>
    </row>
    <row r="87" spans="1:62" ht="12.75">
      <c r="A87" s="12" t="s">
        <v>33</v>
      </c>
      <c r="B87" s="12" t="s">
        <v>89</v>
      </c>
      <c r="C87" s="12" t="s">
        <v>193</v>
      </c>
      <c r="D87" s="42"/>
      <c r="E87" s="42"/>
      <c r="F87" s="12" t="s">
        <v>263</v>
      </c>
      <c r="G87" s="49">
        <v>192.91</v>
      </c>
      <c r="H87" s="49">
        <v>0</v>
      </c>
      <c r="I87" s="49">
        <f>G87*AO87</f>
        <v>0</v>
      </c>
      <c r="J87" s="49">
        <f>G87*AP87</f>
        <v>0</v>
      </c>
      <c r="K87" s="49">
        <f>G87*H87</f>
        <v>0</v>
      </c>
      <c r="L87" s="70" t="s">
        <v>285</v>
      </c>
      <c r="Z87" s="74">
        <f>IF(AQ87="5",BJ87,0)</f>
        <v>0</v>
      </c>
      <c r="AB87" s="74">
        <f>IF(AQ87="1",BH87,0)</f>
        <v>0</v>
      </c>
      <c r="AC87" s="74">
        <f>IF(AQ87="1",BI87,0)</f>
        <v>0</v>
      </c>
      <c r="AD87" s="74">
        <f>IF(AQ87="7",BH87,0)</f>
        <v>0</v>
      </c>
      <c r="AE87" s="74">
        <f>IF(AQ87="7",BI87,0)</f>
        <v>0</v>
      </c>
      <c r="AF87" s="74">
        <f>IF(AQ87="2",BH87,0)</f>
        <v>0</v>
      </c>
      <c r="AG87" s="74">
        <f>IF(AQ87="2",BI87,0)</f>
        <v>0</v>
      </c>
      <c r="AH87" s="74">
        <f>IF(AQ87="0",BJ87,0)</f>
        <v>0</v>
      </c>
      <c r="AI87" s="69"/>
      <c r="AJ87" s="49">
        <f>IF(AN87=0,K87,0)</f>
        <v>0</v>
      </c>
      <c r="AK87" s="49">
        <f>IF(AN87=15,K87,0)</f>
        <v>0</v>
      </c>
      <c r="AL87" s="49">
        <f>IF(AN87=21,K87,0)</f>
        <v>0</v>
      </c>
      <c r="AN87" s="74">
        <v>21</v>
      </c>
      <c r="AO87" s="74">
        <f>H87*1</f>
        <v>0</v>
      </c>
      <c r="AP87" s="74">
        <f>H87*(1-1)</f>
        <v>0</v>
      </c>
      <c r="AQ87" s="70" t="s">
        <v>7</v>
      </c>
      <c r="AV87" s="74">
        <f>AW87+AX87</f>
        <v>0</v>
      </c>
      <c r="AW87" s="74">
        <f>G87*AO87</f>
        <v>0</v>
      </c>
      <c r="AX87" s="74">
        <f>G87*AP87</f>
        <v>0</v>
      </c>
      <c r="AY87" s="75" t="s">
        <v>306</v>
      </c>
      <c r="AZ87" s="75" t="s">
        <v>311</v>
      </c>
      <c r="BA87" s="69" t="s">
        <v>313</v>
      </c>
      <c r="BC87" s="74">
        <f>AW87+AX87</f>
        <v>0</v>
      </c>
      <c r="BD87" s="74">
        <f>H87/(100-BE87)*100</f>
        <v>0</v>
      </c>
      <c r="BE87" s="74">
        <v>0</v>
      </c>
      <c r="BF87" s="74">
        <f>87</f>
        <v>87</v>
      </c>
      <c r="BH87" s="49">
        <f>G87*AO87</f>
        <v>0</v>
      </c>
      <c r="BI87" s="49">
        <f>G87*AP87</f>
        <v>0</v>
      </c>
      <c r="BJ87" s="49">
        <f>G87*H87</f>
        <v>0</v>
      </c>
    </row>
    <row r="88" spans="3:7" ht="12.75">
      <c r="C88" s="31" t="s">
        <v>194</v>
      </c>
      <c r="D88" s="39"/>
      <c r="E88" s="39"/>
      <c r="G88" s="48">
        <v>191</v>
      </c>
    </row>
    <row r="89" spans="3:7" ht="12.75">
      <c r="C89" s="31" t="s">
        <v>195</v>
      </c>
      <c r="D89" s="39"/>
      <c r="E89" s="39"/>
      <c r="G89" s="48">
        <v>1.91</v>
      </c>
    </row>
    <row r="90" spans="2:12" ht="63.75" customHeight="1">
      <c r="B90" s="24" t="s">
        <v>60</v>
      </c>
      <c r="C90" s="32" t="s">
        <v>196</v>
      </c>
      <c r="D90" s="40"/>
      <c r="E90" s="40"/>
      <c r="F90" s="40"/>
      <c r="G90" s="40"/>
      <c r="H90" s="40"/>
      <c r="I90" s="40"/>
      <c r="J90" s="40"/>
      <c r="K90" s="40"/>
      <c r="L90" s="40"/>
    </row>
    <row r="91" spans="3:12" ht="12.75">
      <c r="C91" s="32" t="s">
        <v>197</v>
      </c>
      <c r="D91" s="40"/>
      <c r="E91" s="40"/>
      <c r="F91" s="40"/>
      <c r="G91" s="40"/>
      <c r="H91" s="40"/>
      <c r="I91" s="40"/>
      <c r="J91" s="40"/>
      <c r="K91" s="40"/>
      <c r="L91" s="40"/>
    </row>
    <row r="92" spans="1:62" ht="12.75">
      <c r="A92" s="10" t="s">
        <v>34</v>
      </c>
      <c r="B92" s="10" t="s">
        <v>90</v>
      </c>
      <c r="C92" s="10" t="s">
        <v>198</v>
      </c>
      <c r="D92" s="38"/>
      <c r="E92" s="38"/>
      <c r="F92" s="10" t="s">
        <v>263</v>
      </c>
      <c r="G92" s="47">
        <v>2.9</v>
      </c>
      <c r="H92" s="47">
        <v>0</v>
      </c>
      <c r="I92" s="47">
        <f>G92*AO92</f>
        <v>0</v>
      </c>
      <c r="J92" s="47">
        <f>G92*AP92</f>
        <v>0</v>
      </c>
      <c r="K92" s="47">
        <f>G92*H92</f>
        <v>0</v>
      </c>
      <c r="L92" s="68" t="s">
        <v>285</v>
      </c>
      <c r="Z92" s="74">
        <f>IF(AQ92="5",BJ92,0)</f>
        <v>0</v>
      </c>
      <c r="AB92" s="74">
        <f>IF(AQ92="1",BH92,0)</f>
        <v>0</v>
      </c>
      <c r="AC92" s="74">
        <f>IF(AQ92="1",BI92,0)</f>
        <v>0</v>
      </c>
      <c r="AD92" s="74">
        <f>IF(AQ92="7",BH92,0)</f>
        <v>0</v>
      </c>
      <c r="AE92" s="74">
        <f>IF(AQ92="7",BI92,0)</f>
        <v>0</v>
      </c>
      <c r="AF92" s="74">
        <f>IF(AQ92="2",BH92,0)</f>
        <v>0</v>
      </c>
      <c r="AG92" s="74">
        <f>IF(AQ92="2",BI92,0)</f>
        <v>0</v>
      </c>
      <c r="AH92" s="74">
        <f>IF(AQ92="0",BJ92,0)</f>
        <v>0</v>
      </c>
      <c r="AI92" s="69"/>
      <c r="AJ92" s="47">
        <f>IF(AN92=0,K92,0)</f>
        <v>0</v>
      </c>
      <c r="AK92" s="47">
        <f>IF(AN92=15,K92,0)</f>
        <v>0</v>
      </c>
      <c r="AL92" s="47">
        <f>IF(AN92=21,K92,0)</f>
        <v>0</v>
      </c>
      <c r="AN92" s="74">
        <v>21</v>
      </c>
      <c r="AO92" s="74">
        <f>H92*0.436079470198676</f>
        <v>0</v>
      </c>
      <c r="AP92" s="74">
        <f>H92*(1-0.436079470198676)</f>
        <v>0</v>
      </c>
      <c r="AQ92" s="68" t="s">
        <v>7</v>
      </c>
      <c r="AV92" s="74">
        <f>AW92+AX92</f>
        <v>0</v>
      </c>
      <c r="AW92" s="74">
        <f>G92*AO92</f>
        <v>0</v>
      </c>
      <c r="AX92" s="74">
        <f>G92*AP92</f>
        <v>0</v>
      </c>
      <c r="AY92" s="75" t="s">
        <v>306</v>
      </c>
      <c r="AZ92" s="75" t="s">
        <v>311</v>
      </c>
      <c r="BA92" s="69" t="s">
        <v>313</v>
      </c>
      <c r="BC92" s="74">
        <f>AW92+AX92</f>
        <v>0</v>
      </c>
      <c r="BD92" s="74">
        <f>H92/(100-BE92)*100</f>
        <v>0</v>
      </c>
      <c r="BE92" s="74">
        <v>0</v>
      </c>
      <c r="BF92" s="74">
        <f>92</f>
        <v>92</v>
      </c>
      <c r="BH92" s="47">
        <f>G92*AO92</f>
        <v>0</v>
      </c>
      <c r="BI92" s="47">
        <f>G92*AP92</f>
        <v>0</v>
      </c>
      <c r="BJ92" s="47">
        <f>G92*H92</f>
        <v>0</v>
      </c>
    </row>
    <row r="93" spans="3:7" ht="12.75">
      <c r="C93" s="31" t="s">
        <v>199</v>
      </c>
      <c r="D93" s="39"/>
      <c r="E93" s="39"/>
      <c r="G93" s="48">
        <v>2.9</v>
      </c>
    </row>
    <row r="94" spans="2:12" ht="25.5" customHeight="1">
      <c r="B94" s="24" t="s">
        <v>60</v>
      </c>
      <c r="C94" s="32" t="s">
        <v>184</v>
      </c>
      <c r="D94" s="40"/>
      <c r="E94" s="40"/>
      <c r="F94" s="40"/>
      <c r="G94" s="40"/>
      <c r="H94" s="40"/>
      <c r="I94" s="40"/>
      <c r="J94" s="40"/>
      <c r="K94" s="40"/>
      <c r="L94" s="40"/>
    </row>
    <row r="95" spans="1:62" ht="12.75">
      <c r="A95" s="12" t="s">
        <v>35</v>
      </c>
      <c r="B95" s="12" t="s">
        <v>88</v>
      </c>
      <c r="C95" s="12" t="s">
        <v>189</v>
      </c>
      <c r="D95" s="42"/>
      <c r="E95" s="42"/>
      <c r="F95" s="12" t="s">
        <v>263</v>
      </c>
      <c r="G95" s="49">
        <v>2.929</v>
      </c>
      <c r="H95" s="49">
        <v>0</v>
      </c>
      <c r="I95" s="49">
        <f>G95*AO95</f>
        <v>0</v>
      </c>
      <c r="J95" s="49">
        <f>G95*AP95</f>
        <v>0</v>
      </c>
      <c r="K95" s="49">
        <f>G95*H95</f>
        <v>0</v>
      </c>
      <c r="L95" s="70" t="s">
        <v>285</v>
      </c>
      <c r="Z95" s="74">
        <f>IF(AQ95="5",BJ95,0)</f>
        <v>0</v>
      </c>
      <c r="AB95" s="74">
        <f>IF(AQ95="1",BH95,0)</f>
        <v>0</v>
      </c>
      <c r="AC95" s="74">
        <f>IF(AQ95="1",BI95,0)</f>
        <v>0</v>
      </c>
      <c r="AD95" s="74">
        <f>IF(AQ95="7",BH95,0)</f>
        <v>0</v>
      </c>
      <c r="AE95" s="74">
        <f>IF(AQ95="7",BI95,0)</f>
        <v>0</v>
      </c>
      <c r="AF95" s="74">
        <f>IF(AQ95="2",BH95,0)</f>
        <v>0</v>
      </c>
      <c r="AG95" s="74">
        <f>IF(AQ95="2",BI95,0)</f>
        <v>0</v>
      </c>
      <c r="AH95" s="74">
        <f>IF(AQ95="0",BJ95,0)</f>
        <v>0</v>
      </c>
      <c r="AI95" s="69"/>
      <c r="AJ95" s="49">
        <f>IF(AN95=0,K95,0)</f>
        <v>0</v>
      </c>
      <c r="AK95" s="49">
        <f>IF(AN95=15,K95,0)</f>
        <v>0</v>
      </c>
      <c r="AL95" s="49">
        <f>IF(AN95=21,K95,0)</f>
        <v>0</v>
      </c>
      <c r="AN95" s="74">
        <v>21</v>
      </c>
      <c r="AO95" s="74">
        <f>H95*1</f>
        <v>0</v>
      </c>
      <c r="AP95" s="74">
        <f>H95*(1-1)</f>
        <v>0</v>
      </c>
      <c r="AQ95" s="70" t="s">
        <v>7</v>
      </c>
      <c r="AV95" s="74">
        <f>AW95+AX95</f>
        <v>0</v>
      </c>
      <c r="AW95" s="74">
        <f>G95*AO95</f>
        <v>0</v>
      </c>
      <c r="AX95" s="74">
        <f>G95*AP95</f>
        <v>0</v>
      </c>
      <c r="AY95" s="75" t="s">
        <v>306</v>
      </c>
      <c r="AZ95" s="75" t="s">
        <v>311</v>
      </c>
      <c r="BA95" s="69" t="s">
        <v>313</v>
      </c>
      <c r="BC95" s="74">
        <f>AW95+AX95</f>
        <v>0</v>
      </c>
      <c r="BD95" s="74">
        <f>H95/(100-BE95)*100</f>
        <v>0</v>
      </c>
      <c r="BE95" s="74">
        <v>0</v>
      </c>
      <c r="BF95" s="74">
        <f>95</f>
        <v>95</v>
      </c>
      <c r="BH95" s="49">
        <f>G95*AO95</f>
        <v>0</v>
      </c>
      <c r="BI95" s="49">
        <f>G95*AP95</f>
        <v>0</v>
      </c>
      <c r="BJ95" s="49">
        <f>G95*H95</f>
        <v>0</v>
      </c>
    </row>
    <row r="96" spans="3:7" ht="12.75">
      <c r="C96" s="31" t="s">
        <v>200</v>
      </c>
      <c r="D96" s="39"/>
      <c r="E96" s="39"/>
      <c r="G96" s="48">
        <v>2.9</v>
      </c>
    </row>
    <row r="97" spans="3:7" ht="12.75">
      <c r="C97" s="31" t="s">
        <v>201</v>
      </c>
      <c r="D97" s="39"/>
      <c r="E97" s="39"/>
      <c r="G97" s="48">
        <v>0.029</v>
      </c>
    </row>
    <row r="98" spans="2:12" ht="38.25" customHeight="1">
      <c r="B98" s="24" t="s">
        <v>60</v>
      </c>
      <c r="C98" s="32" t="s">
        <v>202</v>
      </c>
      <c r="D98" s="40"/>
      <c r="E98" s="40"/>
      <c r="F98" s="40"/>
      <c r="G98" s="40"/>
      <c r="H98" s="40"/>
      <c r="I98" s="40"/>
      <c r="J98" s="40"/>
      <c r="K98" s="40"/>
      <c r="L98" s="40"/>
    </row>
    <row r="99" spans="1:62" ht="12.75">
      <c r="A99" s="10" t="s">
        <v>36</v>
      </c>
      <c r="B99" s="10" t="s">
        <v>91</v>
      </c>
      <c r="C99" s="10" t="s">
        <v>203</v>
      </c>
      <c r="D99" s="38"/>
      <c r="E99" s="38"/>
      <c r="F99" s="10" t="s">
        <v>264</v>
      </c>
      <c r="G99" s="47">
        <v>138</v>
      </c>
      <c r="H99" s="47">
        <v>0</v>
      </c>
      <c r="I99" s="47">
        <f>G99*AO99</f>
        <v>0</v>
      </c>
      <c r="J99" s="47">
        <f>G99*AP99</f>
        <v>0</v>
      </c>
      <c r="K99" s="47">
        <f>G99*H99</f>
        <v>0</v>
      </c>
      <c r="L99" s="68" t="s">
        <v>285</v>
      </c>
      <c r="Z99" s="74">
        <f>IF(AQ99="5",BJ99,0)</f>
        <v>0</v>
      </c>
      <c r="AB99" s="74">
        <f>IF(AQ99="1",BH99,0)</f>
        <v>0</v>
      </c>
      <c r="AC99" s="74">
        <f>IF(AQ99="1",BI99,0)</f>
        <v>0</v>
      </c>
      <c r="AD99" s="74">
        <f>IF(AQ99="7",BH99,0)</f>
        <v>0</v>
      </c>
      <c r="AE99" s="74">
        <f>IF(AQ99="7",BI99,0)</f>
        <v>0</v>
      </c>
      <c r="AF99" s="74">
        <f>IF(AQ99="2",BH99,0)</f>
        <v>0</v>
      </c>
      <c r="AG99" s="74">
        <f>IF(AQ99="2",BI99,0)</f>
        <v>0</v>
      </c>
      <c r="AH99" s="74">
        <f>IF(AQ99="0",BJ99,0)</f>
        <v>0</v>
      </c>
      <c r="AI99" s="69"/>
      <c r="AJ99" s="47">
        <f>IF(AN99=0,K99,0)</f>
        <v>0</v>
      </c>
      <c r="AK99" s="47">
        <f>IF(AN99=15,K99,0)</f>
        <v>0</v>
      </c>
      <c r="AL99" s="47">
        <f>IF(AN99=21,K99,0)</f>
        <v>0</v>
      </c>
      <c r="AN99" s="74">
        <v>21</v>
      </c>
      <c r="AO99" s="74">
        <f>H99*0.0677798217065233</f>
        <v>0</v>
      </c>
      <c r="AP99" s="74">
        <f>H99*(1-0.0677798217065233)</f>
        <v>0</v>
      </c>
      <c r="AQ99" s="68" t="s">
        <v>7</v>
      </c>
      <c r="AV99" s="74">
        <f>AW99+AX99</f>
        <v>0</v>
      </c>
      <c r="AW99" s="74">
        <f>G99*AO99</f>
        <v>0</v>
      </c>
      <c r="AX99" s="74">
        <f>G99*AP99</f>
        <v>0</v>
      </c>
      <c r="AY99" s="75" t="s">
        <v>306</v>
      </c>
      <c r="AZ99" s="75" t="s">
        <v>311</v>
      </c>
      <c r="BA99" s="69" t="s">
        <v>313</v>
      </c>
      <c r="BC99" s="74">
        <f>AW99+AX99</f>
        <v>0</v>
      </c>
      <c r="BD99" s="74">
        <f>H99/(100-BE99)*100</f>
        <v>0</v>
      </c>
      <c r="BE99" s="74">
        <v>0</v>
      </c>
      <c r="BF99" s="74">
        <f>99</f>
        <v>99</v>
      </c>
      <c r="BH99" s="47">
        <f>G99*AO99</f>
        <v>0</v>
      </c>
      <c r="BI99" s="47">
        <f>G99*AP99</f>
        <v>0</v>
      </c>
      <c r="BJ99" s="47">
        <f>G99*H99</f>
        <v>0</v>
      </c>
    </row>
    <row r="100" spans="1:62" ht="12.75">
      <c r="A100" s="10" t="s">
        <v>37</v>
      </c>
      <c r="B100" s="10" t="s">
        <v>92</v>
      </c>
      <c r="C100" s="10" t="s">
        <v>204</v>
      </c>
      <c r="D100" s="38"/>
      <c r="E100" s="38"/>
      <c r="F100" s="10" t="s">
        <v>265</v>
      </c>
      <c r="G100" s="47">
        <v>4.202</v>
      </c>
      <c r="H100" s="47">
        <v>0</v>
      </c>
      <c r="I100" s="47">
        <f>G100*AO100</f>
        <v>0</v>
      </c>
      <c r="J100" s="47">
        <f>G100*AP100</f>
        <v>0</v>
      </c>
      <c r="K100" s="47">
        <f>G100*H100</f>
        <v>0</v>
      </c>
      <c r="L100" s="68" t="s">
        <v>285</v>
      </c>
      <c r="Z100" s="74">
        <f>IF(AQ100="5",BJ100,0)</f>
        <v>0</v>
      </c>
      <c r="AB100" s="74">
        <f>IF(AQ100="1",BH100,0)</f>
        <v>0</v>
      </c>
      <c r="AC100" s="74">
        <f>IF(AQ100="1",BI100,0)</f>
        <v>0</v>
      </c>
      <c r="AD100" s="74">
        <f>IF(AQ100="7",BH100,0)</f>
        <v>0</v>
      </c>
      <c r="AE100" s="74">
        <f>IF(AQ100="7",BI100,0)</f>
        <v>0</v>
      </c>
      <c r="AF100" s="74">
        <f>IF(AQ100="2",BH100,0)</f>
        <v>0</v>
      </c>
      <c r="AG100" s="74">
        <f>IF(AQ100="2",BI100,0)</f>
        <v>0</v>
      </c>
      <c r="AH100" s="74">
        <f>IF(AQ100="0",BJ100,0)</f>
        <v>0</v>
      </c>
      <c r="AI100" s="69"/>
      <c r="AJ100" s="47">
        <f>IF(AN100=0,K100,0)</f>
        <v>0</v>
      </c>
      <c r="AK100" s="47">
        <f>IF(AN100=15,K100,0)</f>
        <v>0</v>
      </c>
      <c r="AL100" s="47">
        <f>IF(AN100=21,K100,0)</f>
        <v>0</v>
      </c>
      <c r="AN100" s="74">
        <v>21</v>
      </c>
      <c r="AO100" s="74">
        <f>H100*0</f>
        <v>0</v>
      </c>
      <c r="AP100" s="74">
        <f>H100*(1-0)</f>
        <v>0</v>
      </c>
      <c r="AQ100" s="68" t="s">
        <v>7</v>
      </c>
      <c r="AV100" s="74">
        <f>AW100+AX100</f>
        <v>0</v>
      </c>
      <c r="AW100" s="74">
        <f>G100*AO100</f>
        <v>0</v>
      </c>
      <c r="AX100" s="74">
        <f>G100*AP100</f>
        <v>0</v>
      </c>
      <c r="AY100" s="75" t="s">
        <v>306</v>
      </c>
      <c r="AZ100" s="75" t="s">
        <v>311</v>
      </c>
      <c r="BA100" s="69" t="s">
        <v>313</v>
      </c>
      <c r="BC100" s="74">
        <f>AW100+AX100</f>
        <v>0</v>
      </c>
      <c r="BD100" s="74">
        <f>H100/(100-BE100)*100</f>
        <v>0</v>
      </c>
      <c r="BE100" s="74">
        <v>0</v>
      </c>
      <c r="BF100" s="74">
        <f>100</f>
        <v>100</v>
      </c>
      <c r="BH100" s="47">
        <f>G100*AO100</f>
        <v>0</v>
      </c>
      <c r="BI100" s="47">
        <f>G100*AP100</f>
        <v>0</v>
      </c>
      <c r="BJ100" s="47">
        <f>G100*H100</f>
        <v>0</v>
      </c>
    </row>
    <row r="101" spans="3:7" ht="12.75">
      <c r="C101" s="31" t="s">
        <v>205</v>
      </c>
      <c r="D101" s="39"/>
      <c r="E101" s="39"/>
      <c r="G101" s="48">
        <v>4.202</v>
      </c>
    </row>
    <row r="102" spans="1:47" ht="12.75">
      <c r="A102" s="11"/>
      <c r="B102" s="25" t="s">
        <v>93</v>
      </c>
      <c r="C102" s="25" t="s">
        <v>206</v>
      </c>
      <c r="D102" s="41"/>
      <c r="E102" s="41"/>
      <c r="F102" s="11" t="s">
        <v>6</v>
      </c>
      <c r="G102" s="11" t="s">
        <v>6</v>
      </c>
      <c r="H102" s="11" t="s">
        <v>6</v>
      </c>
      <c r="I102" s="77">
        <f>SUM(I103:I135)</f>
        <v>0</v>
      </c>
      <c r="J102" s="77">
        <f>SUM(J103:J135)</f>
        <v>0</v>
      </c>
      <c r="K102" s="77">
        <f>SUM(K103:K135)</f>
        <v>0</v>
      </c>
      <c r="L102" s="69"/>
      <c r="AI102" s="69"/>
      <c r="AS102" s="77">
        <f>SUM(AJ103:AJ135)</f>
        <v>0</v>
      </c>
      <c r="AT102" s="77">
        <f>SUM(AK103:AK135)</f>
        <v>0</v>
      </c>
      <c r="AU102" s="77">
        <f>SUM(AL103:AL135)</f>
        <v>0</v>
      </c>
    </row>
    <row r="103" spans="1:62" ht="12.75">
      <c r="A103" s="10" t="s">
        <v>38</v>
      </c>
      <c r="B103" s="10" t="s">
        <v>94</v>
      </c>
      <c r="C103" s="10" t="s">
        <v>207</v>
      </c>
      <c r="D103" s="38"/>
      <c r="E103" s="38"/>
      <c r="F103" s="10" t="s">
        <v>264</v>
      </c>
      <c r="G103" s="47">
        <v>257</v>
      </c>
      <c r="H103" s="47">
        <v>0</v>
      </c>
      <c r="I103" s="47">
        <f>G103*AO103</f>
        <v>0</v>
      </c>
      <c r="J103" s="47">
        <f>G103*AP103</f>
        <v>0</v>
      </c>
      <c r="K103" s="47">
        <f>G103*H103</f>
        <v>0</v>
      </c>
      <c r="L103" s="68" t="s">
        <v>285</v>
      </c>
      <c r="Z103" s="74">
        <f>IF(AQ103="5",BJ103,0)</f>
        <v>0</v>
      </c>
      <c r="AB103" s="74">
        <f>IF(AQ103="1",BH103,0)</f>
        <v>0</v>
      </c>
      <c r="AC103" s="74">
        <f>IF(AQ103="1",BI103,0)</f>
        <v>0</v>
      </c>
      <c r="AD103" s="74">
        <f>IF(AQ103="7",BH103,0)</f>
        <v>0</v>
      </c>
      <c r="AE103" s="74">
        <f>IF(AQ103="7",BI103,0)</f>
        <v>0</v>
      </c>
      <c r="AF103" s="74">
        <f>IF(AQ103="2",BH103,0)</f>
        <v>0</v>
      </c>
      <c r="AG103" s="74">
        <f>IF(AQ103="2",BI103,0)</f>
        <v>0</v>
      </c>
      <c r="AH103" s="74">
        <f>IF(AQ103="0",BJ103,0)</f>
        <v>0</v>
      </c>
      <c r="AI103" s="69"/>
      <c r="AJ103" s="47">
        <f>IF(AN103=0,K103,0)</f>
        <v>0</v>
      </c>
      <c r="AK103" s="47">
        <f>IF(AN103=15,K103,0)</f>
        <v>0</v>
      </c>
      <c r="AL103" s="47">
        <f>IF(AN103=21,K103,0)</f>
        <v>0</v>
      </c>
      <c r="AN103" s="74">
        <v>21</v>
      </c>
      <c r="AO103" s="74">
        <f>H103*0.579734152155468</f>
        <v>0</v>
      </c>
      <c r="AP103" s="74">
        <f>H103*(1-0.579734152155468)</f>
        <v>0</v>
      </c>
      <c r="AQ103" s="68" t="s">
        <v>7</v>
      </c>
      <c r="AV103" s="74">
        <f>AW103+AX103</f>
        <v>0</v>
      </c>
      <c r="AW103" s="74">
        <f>G103*AO103</f>
        <v>0</v>
      </c>
      <c r="AX103" s="74">
        <f>G103*AP103</f>
        <v>0</v>
      </c>
      <c r="AY103" s="75" t="s">
        <v>307</v>
      </c>
      <c r="AZ103" s="75" t="s">
        <v>312</v>
      </c>
      <c r="BA103" s="69" t="s">
        <v>313</v>
      </c>
      <c r="BC103" s="74">
        <f>AW103+AX103</f>
        <v>0</v>
      </c>
      <c r="BD103" s="74">
        <f>H103/(100-BE103)*100</f>
        <v>0</v>
      </c>
      <c r="BE103" s="74">
        <v>0</v>
      </c>
      <c r="BF103" s="74">
        <f>103</f>
        <v>103</v>
      </c>
      <c r="BH103" s="47">
        <f>G103*AO103</f>
        <v>0</v>
      </c>
      <c r="BI103" s="47">
        <f>G103*AP103</f>
        <v>0</v>
      </c>
      <c r="BJ103" s="47">
        <f>G103*H103</f>
        <v>0</v>
      </c>
    </row>
    <row r="104" spans="3:7" ht="12.75">
      <c r="C104" s="31" t="s">
        <v>208</v>
      </c>
      <c r="D104" s="39"/>
      <c r="E104" s="39"/>
      <c r="G104" s="48">
        <v>138</v>
      </c>
    </row>
    <row r="105" spans="3:7" ht="12.75">
      <c r="C105" s="31" t="s">
        <v>209</v>
      </c>
      <c r="D105" s="39"/>
      <c r="E105" s="39"/>
      <c r="G105" s="48">
        <v>116</v>
      </c>
    </row>
    <row r="106" spans="3:7" ht="12.75">
      <c r="C106" s="31" t="s">
        <v>210</v>
      </c>
      <c r="D106" s="39"/>
      <c r="E106" s="39"/>
      <c r="G106" s="48">
        <v>3</v>
      </c>
    </row>
    <row r="107" spans="2:12" ht="12.75">
      <c r="B107" s="24" t="s">
        <v>60</v>
      </c>
      <c r="C107" s="32" t="s">
        <v>211</v>
      </c>
      <c r="D107" s="40"/>
      <c r="E107" s="40"/>
      <c r="F107" s="40"/>
      <c r="G107" s="40"/>
      <c r="H107" s="40"/>
      <c r="I107" s="40"/>
      <c r="J107" s="40"/>
      <c r="K107" s="40"/>
      <c r="L107" s="40"/>
    </row>
    <row r="108" spans="1:62" ht="12.75">
      <c r="A108" s="12" t="s">
        <v>39</v>
      </c>
      <c r="B108" s="12" t="s">
        <v>95</v>
      </c>
      <c r="C108" s="12" t="s">
        <v>212</v>
      </c>
      <c r="D108" s="42"/>
      <c r="E108" s="42"/>
      <c r="F108" s="12" t="s">
        <v>266</v>
      </c>
      <c r="G108" s="49">
        <v>3.03</v>
      </c>
      <c r="H108" s="49">
        <v>0</v>
      </c>
      <c r="I108" s="49">
        <f>G108*AO108</f>
        <v>0</v>
      </c>
      <c r="J108" s="49">
        <f>G108*AP108</f>
        <v>0</v>
      </c>
      <c r="K108" s="49">
        <f>G108*H108</f>
        <v>0</v>
      </c>
      <c r="L108" s="70" t="s">
        <v>285</v>
      </c>
      <c r="Z108" s="74">
        <f>IF(AQ108="5",BJ108,0)</f>
        <v>0</v>
      </c>
      <c r="AB108" s="74">
        <f>IF(AQ108="1",BH108,0)</f>
        <v>0</v>
      </c>
      <c r="AC108" s="74">
        <f>IF(AQ108="1",BI108,0)</f>
        <v>0</v>
      </c>
      <c r="AD108" s="74">
        <f>IF(AQ108="7",BH108,0)</f>
        <v>0</v>
      </c>
      <c r="AE108" s="74">
        <f>IF(AQ108="7",BI108,0)</f>
        <v>0</v>
      </c>
      <c r="AF108" s="74">
        <f>IF(AQ108="2",BH108,0)</f>
        <v>0</v>
      </c>
      <c r="AG108" s="74">
        <f>IF(AQ108="2",BI108,0)</f>
        <v>0</v>
      </c>
      <c r="AH108" s="74">
        <f>IF(AQ108="0",BJ108,0)</f>
        <v>0</v>
      </c>
      <c r="AI108" s="69"/>
      <c r="AJ108" s="49">
        <f>IF(AN108=0,K108,0)</f>
        <v>0</v>
      </c>
      <c r="AK108" s="49">
        <f>IF(AN108=15,K108,0)</f>
        <v>0</v>
      </c>
      <c r="AL108" s="49">
        <f>IF(AN108=21,K108,0)</f>
        <v>0</v>
      </c>
      <c r="AN108" s="74">
        <v>21</v>
      </c>
      <c r="AO108" s="74">
        <f>H108*1</f>
        <v>0</v>
      </c>
      <c r="AP108" s="74">
        <f>H108*(1-1)</f>
        <v>0</v>
      </c>
      <c r="AQ108" s="70" t="s">
        <v>7</v>
      </c>
      <c r="AV108" s="74">
        <f>AW108+AX108</f>
        <v>0</v>
      </c>
      <c r="AW108" s="74">
        <f>G108*AO108</f>
        <v>0</v>
      </c>
      <c r="AX108" s="74">
        <f>G108*AP108</f>
        <v>0</v>
      </c>
      <c r="AY108" s="75" t="s">
        <v>307</v>
      </c>
      <c r="AZ108" s="75" t="s">
        <v>312</v>
      </c>
      <c r="BA108" s="69" t="s">
        <v>313</v>
      </c>
      <c r="BC108" s="74">
        <f>AW108+AX108</f>
        <v>0</v>
      </c>
      <c r="BD108" s="74">
        <f>H108/(100-BE108)*100</f>
        <v>0</v>
      </c>
      <c r="BE108" s="74">
        <v>0</v>
      </c>
      <c r="BF108" s="74">
        <f>108</f>
        <v>108</v>
      </c>
      <c r="BH108" s="49">
        <f>G108*AO108</f>
        <v>0</v>
      </c>
      <c r="BI108" s="49">
        <f>G108*AP108</f>
        <v>0</v>
      </c>
      <c r="BJ108" s="49">
        <f>G108*H108</f>
        <v>0</v>
      </c>
    </row>
    <row r="109" spans="3:7" ht="12.75">
      <c r="C109" s="31" t="s">
        <v>9</v>
      </c>
      <c r="D109" s="39"/>
      <c r="E109" s="39"/>
      <c r="G109" s="48">
        <v>3</v>
      </c>
    </row>
    <row r="110" spans="3:7" ht="12.75">
      <c r="C110" s="31" t="s">
        <v>213</v>
      </c>
      <c r="D110" s="39"/>
      <c r="E110" s="39"/>
      <c r="G110" s="48">
        <v>0.03</v>
      </c>
    </row>
    <row r="111" spans="2:12" ht="12.75">
      <c r="B111" s="24" t="s">
        <v>60</v>
      </c>
      <c r="C111" s="32" t="s">
        <v>214</v>
      </c>
      <c r="D111" s="40"/>
      <c r="E111" s="40"/>
      <c r="F111" s="40"/>
      <c r="G111" s="40"/>
      <c r="H111" s="40"/>
      <c r="I111" s="40"/>
      <c r="J111" s="40"/>
      <c r="K111" s="40"/>
      <c r="L111" s="40"/>
    </row>
    <row r="112" spans="1:62" ht="12.75">
      <c r="A112" s="12" t="s">
        <v>40</v>
      </c>
      <c r="B112" s="12" t="s">
        <v>96</v>
      </c>
      <c r="C112" s="12" t="s">
        <v>215</v>
      </c>
      <c r="D112" s="42"/>
      <c r="E112" s="42"/>
      <c r="F112" s="12" t="s">
        <v>266</v>
      </c>
      <c r="G112" s="49">
        <v>139.38</v>
      </c>
      <c r="H112" s="49">
        <v>0</v>
      </c>
      <c r="I112" s="49">
        <f>G112*AO112</f>
        <v>0</v>
      </c>
      <c r="J112" s="49">
        <f>G112*AP112</f>
        <v>0</v>
      </c>
      <c r="K112" s="49">
        <f>G112*H112</f>
        <v>0</v>
      </c>
      <c r="L112" s="70" t="s">
        <v>285</v>
      </c>
      <c r="Z112" s="74">
        <f>IF(AQ112="5",BJ112,0)</f>
        <v>0</v>
      </c>
      <c r="AB112" s="74">
        <f>IF(AQ112="1",BH112,0)</f>
        <v>0</v>
      </c>
      <c r="AC112" s="74">
        <f>IF(AQ112="1",BI112,0)</f>
        <v>0</v>
      </c>
      <c r="AD112" s="74">
        <f>IF(AQ112="7",BH112,0)</f>
        <v>0</v>
      </c>
      <c r="AE112" s="74">
        <f>IF(AQ112="7",BI112,0)</f>
        <v>0</v>
      </c>
      <c r="AF112" s="74">
        <f>IF(AQ112="2",BH112,0)</f>
        <v>0</v>
      </c>
      <c r="AG112" s="74">
        <f>IF(AQ112="2",BI112,0)</f>
        <v>0</v>
      </c>
      <c r="AH112" s="74">
        <f>IF(AQ112="0",BJ112,0)</f>
        <v>0</v>
      </c>
      <c r="AI112" s="69"/>
      <c r="AJ112" s="49">
        <f>IF(AN112=0,K112,0)</f>
        <v>0</v>
      </c>
      <c r="AK112" s="49">
        <f>IF(AN112=15,K112,0)</f>
        <v>0</v>
      </c>
      <c r="AL112" s="49">
        <f>IF(AN112=21,K112,0)</f>
        <v>0</v>
      </c>
      <c r="AN112" s="74">
        <v>21</v>
      </c>
      <c r="AO112" s="74">
        <f>H112*1</f>
        <v>0</v>
      </c>
      <c r="AP112" s="74">
        <f>H112*(1-1)</f>
        <v>0</v>
      </c>
      <c r="AQ112" s="70" t="s">
        <v>7</v>
      </c>
      <c r="AV112" s="74">
        <f>AW112+AX112</f>
        <v>0</v>
      </c>
      <c r="AW112" s="74">
        <f>G112*AO112</f>
        <v>0</v>
      </c>
      <c r="AX112" s="74">
        <f>G112*AP112</f>
        <v>0</v>
      </c>
      <c r="AY112" s="75" t="s">
        <v>307</v>
      </c>
      <c r="AZ112" s="75" t="s">
        <v>312</v>
      </c>
      <c r="BA112" s="69" t="s">
        <v>313</v>
      </c>
      <c r="BC112" s="74">
        <f>AW112+AX112</f>
        <v>0</v>
      </c>
      <c r="BD112" s="74">
        <f>H112/(100-BE112)*100</f>
        <v>0</v>
      </c>
      <c r="BE112" s="74">
        <v>0</v>
      </c>
      <c r="BF112" s="74">
        <f>112</f>
        <v>112</v>
      </c>
      <c r="BH112" s="49">
        <f>G112*AO112</f>
        <v>0</v>
      </c>
      <c r="BI112" s="49">
        <f>G112*AP112</f>
        <v>0</v>
      </c>
      <c r="BJ112" s="49">
        <f>G112*H112</f>
        <v>0</v>
      </c>
    </row>
    <row r="113" spans="3:7" ht="12.75">
      <c r="C113" s="31" t="s">
        <v>216</v>
      </c>
      <c r="D113" s="39"/>
      <c r="E113" s="39"/>
      <c r="G113" s="48">
        <v>138</v>
      </c>
    </row>
    <row r="114" spans="3:7" ht="12.75">
      <c r="C114" s="31" t="s">
        <v>217</v>
      </c>
      <c r="D114" s="39"/>
      <c r="E114" s="39"/>
      <c r="G114" s="48">
        <v>1.38</v>
      </c>
    </row>
    <row r="115" spans="2:12" ht="12.75">
      <c r="B115" s="24" t="s">
        <v>60</v>
      </c>
      <c r="C115" s="32" t="s">
        <v>214</v>
      </c>
      <c r="D115" s="40"/>
      <c r="E115" s="40"/>
      <c r="F115" s="40"/>
      <c r="G115" s="40"/>
      <c r="H115" s="40"/>
      <c r="I115" s="40"/>
      <c r="J115" s="40"/>
      <c r="K115" s="40"/>
      <c r="L115" s="40"/>
    </row>
    <row r="116" spans="1:62" ht="12.75">
      <c r="A116" s="12" t="s">
        <v>41</v>
      </c>
      <c r="B116" s="12" t="s">
        <v>97</v>
      </c>
      <c r="C116" s="12" t="s">
        <v>218</v>
      </c>
      <c r="D116" s="42"/>
      <c r="E116" s="42"/>
      <c r="F116" s="12" t="s">
        <v>266</v>
      </c>
      <c r="G116" s="49">
        <v>117.16</v>
      </c>
      <c r="H116" s="49">
        <v>0</v>
      </c>
      <c r="I116" s="49">
        <f>G116*AO116</f>
        <v>0</v>
      </c>
      <c r="J116" s="49">
        <f>G116*AP116</f>
        <v>0</v>
      </c>
      <c r="K116" s="49">
        <f>G116*H116</f>
        <v>0</v>
      </c>
      <c r="L116" s="70" t="s">
        <v>285</v>
      </c>
      <c r="Z116" s="74">
        <f>IF(AQ116="5",BJ116,0)</f>
        <v>0</v>
      </c>
      <c r="AB116" s="74">
        <f>IF(AQ116="1",BH116,0)</f>
        <v>0</v>
      </c>
      <c r="AC116" s="74">
        <f>IF(AQ116="1",BI116,0)</f>
        <v>0</v>
      </c>
      <c r="AD116" s="74">
        <f>IF(AQ116="7",BH116,0)</f>
        <v>0</v>
      </c>
      <c r="AE116" s="74">
        <f>IF(AQ116="7",BI116,0)</f>
        <v>0</v>
      </c>
      <c r="AF116" s="74">
        <f>IF(AQ116="2",BH116,0)</f>
        <v>0</v>
      </c>
      <c r="AG116" s="74">
        <f>IF(AQ116="2",BI116,0)</f>
        <v>0</v>
      </c>
      <c r="AH116" s="74">
        <f>IF(AQ116="0",BJ116,0)</f>
        <v>0</v>
      </c>
      <c r="AI116" s="69"/>
      <c r="AJ116" s="49">
        <f>IF(AN116=0,K116,0)</f>
        <v>0</v>
      </c>
      <c r="AK116" s="49">
        <f>IF(AN116=15,K116,0)</f>
        <v>0</v>
      </c>
      <c r="AL116" s="49">
        <f>IF(AN116=21,K116,0)</f>
        <v>0</v>
      </c>
      <c r="AN116" s="74">
        <v>21</v>
      </c>
      <c r="AO116" s="74">
        <f>H116*1</f>
        <v>0</v>
      </c>
      <c r="AP116" s="74">
        <f>H116*(1-1)</f>
        <v>0</v>
      </c>
      <c r="AQ116" s="70" t="s">
        <v>7</v>
      </c>
      <c r="AV116" s="74">
        <f>AW116+AX116</f>
        <v>0</v>
      </c>
      <c r="AW116" s="74">
        <f>G116*AO116</f>
        <v>0</v>
      </c>
      <c r="AX116" s="74">
        <f>G116*AP116</f>
        <v>0</v>
      </c>
      <c r="AY116" s="75" t="s">
        <v>307</v>
      </c>
      <c r="AZ116" s="75" t="s">
        <v>312</v>
      </c>
      <c r="BA116" s="69" t="s">
        <v>313</v>
      </c>
      <c r="BC116" s="74">
        <f>AW116+AX116</f>
        <v>0</v>
      </c>
      <c r="BD116" s="74">
        <f>H116/(100-BE116)*100</f>
        <v>0</v>
      </c>
      <c r="BE116" s="74">
        <v>0</v>
      </c>
      <c r="BF116" s="74">
        <f>116</f>
        <v>116</v>
      </c>
      <c r="BH116" s="49">
        <f>G116*AO116</f>
        <v>0</v>
      </c>
      <c r="BI116" s="49">
        <f>G116*AP116</f>
        <v>0</v>
      </c>
      <c r="BJ116" s="49">
        <f>G116*H116</f>
        <v>0</v>
      </c>
    </row>
    <row r="117" spans="3:7" ht="12.75">
      <c r="C117" s="31" t="s">
        <v>219</v>
      </c>
      <c r="D117" s="39"/>
      <c r="E117" s="39"/>
      <c r="G117" s="48">
        <v>116</v>
      </c>
    </row>
    <row r="118" spans="3:7" ht="12.75">
      <c r="C118" s="31" t="s">
        <v>220</v>
      </c>
      <c r="D118" s="39"/>
      <c r="E118" s="39"/>
      <c r="G118" s="48">
        <v>1.16</v>
      </c>
    </row>
    <row r="119" spans="2:12" ht="12.75">
      <c r="B119" s="24" t="s">
        <v>60</v>
      </c>
      <c r="C119" s="32" t="s">
        <v>214</v>
      </c>
      <c r="D119" s="40"/>
      <c r="E119" s="40"/>
      <c r="F119" s="40"/>
      <c r="G119" s="40"/>
      <c r="H119" s="40"/>
      <c r="I119" s="40"/>
      <c r="J119" s="40"/>
      <c r="K119" s="40"/>
      <c r="L119" s="40"/>
    </row>
    <row r="120" spans="1:62" ht="12.75">
      <c r="A120" s="10" t="s">
        <v>42</v>
      </c>
      <c r="B120" s="10" t="s">
        <v>98</v>
      </c>
      <c r="C120" s="10" t="s">
        <v>221</v>
      </c>
      <c r="D120" s="38"/>
      <c r="E120" s="38"/>
      <c r="F120" s="10" t="s">
        <v>265</v>
      </c>
      <c r="G120" s="47">
        <v>9.2</v>
      </c>
      <c r="H120" s="47">
        <v>0</v>
      </c>
      <c r="I120" s="47">
        <f>G120*AO120</f>
        <v>0</v>
      </c>
      <c r="J120" s="47">
        <f>G120*AP120</f>
        <v>0</v>
      </c>
      <c r="K120" s="47">
        <f>G120*H120</f>
        <v>0</v>
      </c>
      <c r="L120" s="68" t="s">
        <v>285</v>
      </c>
      <c r="Z120" s="74">
        <f>IF(AQ120="5",BJ120,0)</f>
        <v>0</v>
      </c>
      <c r="AB120" s="74">
        <f>IF(AQ120="1",BH120,0)</f>
        <v>0</v>
      </c>
      <c r="AC120" s="74">
        <f>IF(AQ120="1",BI120,0)</f>
        <v>0</v>
      </c>
      <c r="AD120" s="74">
        <f>IF(AQ120="7",BH120,0)</f>
        <v>0</v>
      </c>
      <c r="AE120" s="74">
        <f>IF(AQ120="7",BI120,0)</f>
        <v>0</v>
      </c>
      <c r="AF120" s="74">
        <f>IF(AQ120="2",BH120,0)</f>
        <v>0</v>
      </c>
      <c r="AG120" s="74">
        <f>IF(AQ120="2",BI120,0)</f>
        <v>0</v>
      </c>
      <c r="AH120" s="74">
        <f>IF(AQ120="0",BJ120,0)</f>
        <v>0</v>
      </c>
      <c r="AI120" s="69"/>
      <c r="AJ120" s="47">
        <f>IF(AN120=0,K120,0)</f>
        <v>0</v>
      </c>
      <c r="AK120" s="47">
        <f>IF(AN120=15,K120,0)</f>
        <v>0</v>
      </c>
      <c r="AL120" s="47">
        <f>IF(AN120=21,K120,0)</f>
        <v>0</v>
      </c>
      <c r="AN120" s="74">
        <v>21</v>
      </c>
      <c r="AO120" s="74">
        <f>H120*0.793586776859504</f>
        <v>0</v>
      </c>
      <c r="AP120" s="74">
        <f>H120*(1-0.793586776859504)</f>
        <v>0</v>
      </c>
      <c r="AQ120" s="68" t="s">
        <v>7</v>
      </c>
      <c r="AV120" s="74">
        <f>AW120+AX120</f>
        <v>0</v>
      </c>
      <c r="AW120" s="74">
        <f>G120*AO120</f>
        <v>0</v>
      </c>
      <c r="AX120" s="74">
        <f>G120*AP120</f>
        <v>0</v>
      </c>
      <c r="AY120" s="75" t="s">
        <v>307</v>
      </c>
      <c r="AZ120" s="75" t="s">
        <v>312</v>
      </c>
      <c r="BA120" s="69" t="s">
        <v>313</v>
      </c>
      <c r="BC120" s="74">
        <f>AW120+AX120</f>
        <v>0</v>
      </c>
      <c r="BD120" s="74">
        <f>H120/(100-BE120)*100</f>
        <v>0</v>
      </c>
      <c r="BE120" s="74">
        <v>0</v>
      </c>
      <c r="BF120" s="74">
        <f>120</f>
        <v>120</v>
      </c>
      <c r="BH120" s="47">
        <f>G120*AO120</f>
        <v>0</v>
      </c>
      <c r="BI120" s="47">
        <f>G120*AP120</f>
        <v>0</v>
      </c>
      <c r="BJ120" s="47">
        <f>G120*H120</f>
        <v>0</v>
      </c>
    </row>
    <row r="121" spans="3:7" ht="12.75">
      <c r="C121" s="31" t="s">
        <v>222</v>
      </c>
      <c r="D121" s="39"/>
      <c r="E121" s="39"/>
      <c r="G121" s="48">
        <v>9.2</v>
      </c>
    </row>
    <row r="122" spans="1:62" ht="12.75">
      <c r="A122" s="10" t="s">
        <v>43</v>
      </c>
      <c r="B122" s="10" t="s">
        <v>99</v>
      </c>
      <c r="C122" s="10" t="s">
        <v>223</v>
      </c>
      <c r="D122" s="38"/>
      <c r="E122" s="38"/>
      <c r="F122" s="10" t="s">
        <v>264</v>
      </c>
      <c r="G122" s="47">
        <v>120</v>
      </c>
      <c r="H122" s="47">
        <v>0</v>
      </c>
      <c r="I122" s="47">
        <f>G122*AO122</f>
        <v>0</v>
      </c>
      <c r="J122" s="47">
        <f>G122*AP122</f>
        <v>0</v>
      </c>
      <c r="K122" s="47">
        <f>G122*H122</f>
        <v>0</v>
      </c>
      <c r="L122" s="68" t="s">
        <v>285</v>
      </c>
      <c r="Z122" s="74">
        <f>IF(AQ122="5",BJ122,0)</f>
        <v>0</v>
      </c>
      <c r="AB122" s="74">
        <f>IF(AQ122="1",BH122,0)</f>
        <v>0</v>
      </c>
      <c r="AC122" s="74">
        <f>IF(AQ122="1",BI122,0)</f>
        <v>0</v>
      </c>
      <c r="AD122" s="74">
        <f>IF(AQ122="7",BH122,0)</f>
        <v>0</v>
      </c>
      <c r="AE122" s="74">
        <f>IF(AQ122="7",BI122,0)</f>
        <v>0</v>
      </c>
      <c r="AF122" s="74">
        <f>IF(AQ122="2",BH122,0)</f>
        <v>0</v>
      </c>
      <c r="AG122" s="74">
        <f>IF(AQ122="2",BI122,0)</f>
        <v>0</v>
      </c>
      <c r="AH122" s="74">
        <f>IF(AQ122="0",BJ122,0)</f>
        <v>0</v>
      </c>
      <c r="AI122" s="69"/>
      <c r="AJ122" s="47">
        <f>IF(AN122=0,K122,0)</f>
        <v>0</v>
      </c>
      <c r="AK122" s="47">
        <f>IF(AN122=15,K122,0)</f>
        <v>0</v>
      </c>
      <c r="AL122" s="47">
        <f>IF(AN122=21,K122,0)</f>
        <v>0</v>
      </c>
      <c r="AN122" s="74">
        <v>21</v>
      </c>
      <c r="AO122" s="74">
        <f>H122*0.607557603686636</f>
        <v>0</v>
      </c>
      <c r="AP122" s="74">
        <f>H122*(1-0.607557603686636)</f>
        <v>0</v>
      </c>
      <c r="AQ122" s="68" t="s">
        <v>7</v>
      </c>
      <c r="AV122" s="74">
        <f>AW122+AX122</f>
        <v>0</v>
      </c>
      <c r="AW122" s="74">
        <f>G122*AO122</f>
        <v>0</v>
      </c>
      <c r="AX122" s="74">
        <f>G122*AP122</f>
        <v>0</v>
      </c>
      <c r="AY122" s="75" t="s">
        <v>307</v>
      </c>
      <c r="AZ122" s="75" t="s">
        <v>312</v>
      </c>
      <c r="BA122" s="69" t="s">
        <v>313</v>
      </c>
      <c r="BC122" s="74">
        <f>AW122+AX122</f>
        <v>0</v>
      </c>
      <c r="BD122" s="74">
        <f>H122/(100-BE122)*100</f>
        <v>0</v>
      </c>
      <c r="BE122" s="74">
        <v>0</v>
      </c>
      <c r="BF122" s="74">
        <f>122</f>
        <v>122</v>
      </c>
      <c r="BH122" s="47">
        <f>G122*AO122</f>
        <v>0</v>
      </c>
      <c r="BI122" s="47">
        <f>G122*AP122</f>
        <v>0</v>
      </c>
      <c r="BJ122" s="47">
        <f>G122*H122</f>
        <v>0</v>
      </c>
    </row>
    <row r="123" spans="3:7" ht="12.75">
      <c r="C123" s="31" t="s">
        <v>224</v>
      </c>
      <c r="D123" s="39"/>
      <c r="E123" s="39"/>
      <c r="G123" s="48">
        <v>120</v>
      </c>
    </row>
    <row r="124" spans="2:12" ht="12.75">
      <c r="B124" s="24" t="s">
        <v>60</v>
      </c>
      <c r="C124" s="32" t="s">
        <v>225</v>
      </c>
      <c r="D124" s="40"/>
      <c r="E124" s="40"/>
      <c r="F124" s="40"/>
      <c r="G124" s="40"/>
      <c r="H124" s="40"/>
      <c r="I124" s="40"/>
      <c r="J124" s="40"/>
      <c r="K124" s="40"/>
      <c r="L124" s="40"/>
    </row>
    <row r="125" spans="1:62" ht="12.75">
      <c r="A125" s="10" t="s">
        <v>44</v>
      </c>
      <c r="B125" s="10" t="s">
        <v>100</v>
      </c>
      <c r="C125" s="10" t="s">
        <v>226</v>
      </c>
      <c r="D125" s="38"/>
      <c r="E125" s="38"/>
      <c r="F125" s="10" t="s">
        <v>266</v>
      </c>
      <c r="G125" s="47">
        <v>1</v>
      </c>
      <c r="H125" s="47">
        <v>0</v>
      </c>
      <c r="I125" s="47">
        <f>G125*AO125</f>
        <v>0</v>
      </c>
      <c r="J125" s="47">
        <f>G125*AP125</f>
        <v>0</v>
      </c>
      <c r="K125" s="47">
        <f>G125*H125</f>
        <v>0</v>
      </c>
      <c r="L125" s="68" t="s">
        <v>285</v>
      </c>
      <c r="Z125" s="74">
        <f>IF(AQ125="5",BJ125,0)</f>
        <v>0</v>
      </c>
      <c r="AB125" s="74">
        <f>IF(AQ125="1",BH125,0)</f>
        <v>0</v>
      </c>
      <c r="AC125" s="74">
        <f>IF(AQ125="1",BI125,0)</f>
        <v>0</v>
      </c>
      <c r="AD125" s="74">
        <f>IF(AQ125="7",BH125,0)</f>
        <v>0</v>
      </c>
      <c r="AE125" s="74">
        <f>IF(AQ125="7",BI125,0)</f>
        <v>0</v>
      </c>
      <c r="AF125" s="74">
        <f>IF(AQ125="2",BH125,0)</f>
        <v>0</v>
      </c>
      <c r="AG125" s="74">
        <f>IF(AQ125="2",BI125,0)</f>
        <v>0</v>
      </c>
      <c r="AH125" s="74">
        <f>IF(AQ125="0",BJ125,0)</f>
        <v>0</v>
      </c>
      <c r="AI125" s="69"/>
      <c r="AJ125" s="47">
        <f>IF(AN125=0,K125,0)</f>
        <v>0</v>
      </c>
      <c r="AK125" s="47">
        <f>IF(AN125=15,K125,0)</f>
        <v>0</v>
      </c>
      <c r="AL125" s="47">
        <f>IF(AN125=21,K125,0)</f>
        <v>0</v>
      </c>
      <c r="AN125" s="74">
        <v>21</v>
      </c>
      <c r="AO125" s="74">
        <f>H125*0.644306487695749</f>
        <v>0</v>
      </c>
      <c r="AP125" s="74">
        <f>H125*(1-0.644306487695749)</f>
        <v>0</v>
      </c>
      <c r="AQ125" s="68" t="s">
        <v>7</v>
      </c>
      <c r="AV125" s="74">
        <f>AW125+AX125</f>
        <v>0</v>
      </c>
      <c r="AW125" s="74">
        <f>G125*AO125</f>
        <v>0</v>
      </c>
      <c r="AX125" s="74">
        <f>G125*AP125</f>
        <v>0</v>
      </c>
      <c r="AY125" s="75" t="s">
        <v>307</v>
      </c>
      <c r="AZ125" s="75" t="s">
        <v>312</v>
      </c>
      <c r="BA125" s="69" t="s">
        <v>313</v>
      </c>
      <c r="BC125" s="74">
        <f>AW125+AX125</f>
        <v>0</v>
      </c>
      <c r="BD125" s="74">
        <f>H125/(100-BE125)*100</f>
        <v>0</v>
      </c>
      <c r="BE125" s="74">
        <v>0</v>
      </c>
      <c r="BF125" s="74">
        <f>125</f>
        <v>125</v>
      </c>
      <c r="BH125" s="47">
        <f>G125*AO125</f>
        <v>0</v>
      </c>
      <c r="BI125" s="47">
        <f>G125*AP125</f>
        <v>0</v>
      </c>
      <c r="BJ125" s="47">
        <f>G125*H125</f>
        <v>0</v>
      </c>
    </row>
    <row r="126" spans="3:7" ht="12.75">
      <c r="C126" s="31" t="s">
        <v>227</v>
      </c>
      <c r="D126" s="39"/>
      <c r="E126" s="39"/>
      <c r="G126" s="48">
        <v>1</v>
      </c>
    </row>
    <row r="127" spans="2:12" ht="25.5" customHeight="1">
      <c r="B127" s="24" t="s">
        <v>60</v>
      </c>
      <c r="C127" s="32" t="s">
        <v>228</v>
      </c>
      <c r="D127" s="40"/>
      <c r="E127" s="40"/>
      <c r="F127" s="40"/>
      <c r="G127" s="40"/>
      <c r="H127" s="40"/>
      <c r="I127" s="40"/>
      <c r="J127" s="40"/>
      <c r="K127" s="40"/>
      <c r="L127" s="40"/>
    </row>
    <row r="128" spans="1:62" ht="12.75">
      <c r="A128" s="10" t="s">
        <v>45</v>
      </c>
      <c r="B128" s="10" t="s">
        <v>101</v>
      </c>
      <c r="C128" s="10" t="s">
        <v>229</v>
      </c>
      <c r="D128" s="38"/>
      <c r="E128" s="38"/>
      <c r="F128" s="10" t="s">
        <v>266</v>
      </c>
      <c r="G128" s="47">
        <v>2</v>
      </c>
      <c r="H128" s="47">
        <v>0</v>
      </c>
      <c r="I128" s="47">
        <f>G128*AO128</f>
        <v>0</v>
      </c>
      <c r="J128" s="47">
        <f>G128*AP128</f>
        <v>0</v>
      </c>
      <c r="K128" s="47">
        <f>G128*H128</f>
        <v>0</v>
      </c>
      <c r="L128" s="68" t="s">
        <v>285</v>
      </c>
      <c r="Z128" s="74">
        <f>IF(AQ128="5",BJ128,0)</f>
        <v>0</v>
      </c>
      <c r="AB128" s="74">
        <f>IF(AQ128="1",BH128,0)</f>
        <v>0</v>
      </c>
      <c r="AC128" s="74">
        <f>IF(AQ128="1",BI128,0)</f>
        <v>0</v>
      </c>
      <c r="AD128" s="74">
        <f>IF(AQ128="7",BH128,0)</f>
        <v>0</v>
      </c>
      <c r="AE128" s="74">
        <f>IF(AQ128="7",BI128,0)</f>
        <v>0</v>
      </c>
      <c r="AF128" s="74">
        <f>IF(AQ128="2",BH128,0)</f>
        <v>0</v>
      </c>
      <c r="AG128" s="74">
        <f>IF(AQ128="2",BI128,0)</f>
        <v>0</v>
      </c>
      <c r="AH128" s="74">
        <f>IF(AQ128="0",BJ128,0)</f>
        <v>0</v>
      </c>
      <c r="AI128" s="69"/>
      <c r="AJ128" s="47">
        <f>IF(AN128=0,K128,0)</f>
        <v>0</v>
      </c>
      <c r="AK128" s="47">
        <f>IF(AN128=15,K128,0)</f>
        <v>0</v>
      </c>
      <c r="AL128" s="47">
        <f>IF(AN128=21,K128,0)</f>
        <v>0</v>
      </c>
      <c r="AN128" s="74">
        <v>21</v>
      </c>
      <c r="AO128" s="74">
        <f>H128*0.622452316076294</f>
        <v>0</v>
      </c>
      <c r="AP128" s="74">
        <f>H128*(1-0.622452316076294)</f>
        <v>0</v>
      </c>
      <c r="AQ128" s="68" t="s">
        <v>7</v>
      </c>
      <c r="AV128" s="74">
        <f>AW128+AX128</f>
        <v>0</v>
      </c>
      <c r="AW128" s="74">
        <f>G128*AO128</f>
        <v>0</v>
      </c>
      <c r="AX128" s="74">
        <f>G128*AP128</f>
        <v>0</v>
      </c>
      <c r="AY128" s="75" t="s">
        <v>307</v>
      </c>
      <c r="AZ128" s="75" t="s">
        <v>312</v>
      </c>
      <c r="BA128" s="69" t="s">
        <v>313</v>
      </c>
      <c r="BC128" s="74">
        <f>AW128+AX128</f>
        <v>0</v>
      </c>
      <c r="BD128" s="74">
        <f>H128/(100-BE128)*100</f>
        <v>0</v>
      </c>
      <c r="BE128" s="74">
        <v>0</v>
      </c>
      <c r="BF128" s="74">
        <f>128</f>
        <v>128</v>
      </c>
      <c r="BH128" s="47">
        <f>G128*AO128</f>
        <v>0</v>
      </c>
      <c r="BI128" s="47">
        <f>G128*AP128</f>
        <v>0</v>
      </c>
      <c r="BJ128" s="47">
        <f>G128*H128</f>
        <v>0</v>
      </c>
    </row>
    <row r="129" spans="3:7" ht="12.75">
      <c r="C129" s="31" t="s">
        <v>230</v>
      </c>
      <c r="D129" s="39"/>
      <c r="E129" s="39"/>
      <c r="G129" s="48">
        <v>2</v>
      </c>
    </row>
    <row r="130" spans="2:12" ht="12.75">
      <c r="B130" s="24" t="s">
        <v>60</v>
      </c>
      <c r="C130" s="32" t="s">
        <v>231</v>
      </c>
      <c r="D130" s="40"/>
      <c r="E130" s="40"/>
      <c r="F130" s="40"/>
      <c r="G130" s="40"/>
      <c r="H130" s="40"/>
      <c r="I130" s="40"/>
      <c r="J130" s="40"/>
      <c r="K130" s="40"/>
      <c r="L130" s="40"/>
    </row>
    <row r="131" spans="1:62" ht="12.75">
      <c r="A131" s="12" t="s">
        <v>46</v>
      </c>
      <c r="B131" s="12" t="s">
        <v>102</v>
      </c>
      <c r="C131" s="12" t="s">
        <v>232</v>
      </c>
      <c r="D131" s="42"/>
      <c r="E131" s="42"/>
      <c r="F131" s="12" t="s">
        <v>266</v>
      </c>
      <c r="G131" s="49">
        <v>1</v>
      </c>
      <c r="H131" s="49">
        <v>0</v>
      </c>
      <c r="I131" s="49">
        <f>G131*AO131</f>
        <v>0</v>
      </c>
      <c r="J131" s="49">
        <f>G131*AP131</f>
        <v>0</v>
      </c>
      <c r="K131" s="49">
        <f>G131*H131</f>
        <v>0</v>
      </c>
      <c r="L131" s="70" t="s">
        <v>285</v>
      </c>
      <c r="Z131" s="74">
        <f>IF(AQ131="5",BJ131,0)</f>
        <v>0</v>
      </c>
      <c r="AB131" s="74">
        <f>IF(AQ131="1",BH131,0)</f>
        <v>0</v>
      </c>
      <c r="AC131" s="74">
        <f>IF(AQ131="1",BI131,0)</f>
        <v>0</v>
      </c>
      <c r="AD131" s="74">
        <f>IF(AQ131="7",BH131,0)</f>
        <v>0</v>
      </c>
      <c r="AE131" s="74">
        <f>IF(AQ131="7",BI131,0)</f>
        <v>0</v>
      </c>
      <c r="AF131" s="74">
        <f>IF(AQ131="2",BH131,0)</f>
        <v>0</v>
      </c>
      <c r="AG131" s="74">
        <f>IF(AQ131="2",BI131,0)</f>
        <v>0</v>
      </c>
      <c r="AH131" s="74">
        <f>IF(AQ131="0",BJ131,0)</f>
        <v>0</v>
      </c>
      <c r="AI131" s="69"/>
      <c r="AJ131" s="49">
        <f>IF(AN131=0,K131,0)</f>
        <v>0</v>
      </c>
      <c r="AK131" s="49">
        <f>IF(AN131=15,K131,0)</f>
        <v>0</v>
      </c>
      <c r="AL131" s="49">
        <f>IF(AN131=21,K131,0)</f>
        <v>0</v>
      </c>
      <c r="AN131" s="74">
        <v>21</v>
      </c>
      <c r="AO131" s="74">
        <f>H131*1</f>
        <v>0</v>
      </c>
      <c r="AP131" s="74">
        <f>H131*(1-1)</f>
        <v>0</v>
      </c>
      <c r="AQ131" s="70" t="s">
        <v>7</v>
      </c>
      <c r="AV131" s="74">
        <f>AW131+AX131</f>
        <v>0</v>
      </c>
      <c r="AW131" s="74">
        <f>G131*AO131</f>
        <v>0</v>
      </c>
      <c r="AX131" s="74">
        <f>G131*AP131</f>
        <v>0</v>
      </c>
      <c r="AY131" s="75" t="s">
        <v>307</v>
      </c>
      <c r="AZ131" s="75" t="s">
        <v>312</v>
      </c>
      <c r="BA131" s="69" t="s">
        <v>313</v>
      </c>
      <c r="BC131" s="74">
        <f>AW131+AX131</f>
        <v>0</v>
      </c>
      <c r="BD131" s="74">
        <f>H131/(100-BE131)*100</f>
        <v>0</v>
      </c>
      <c r="BE131" s="74">
        <v>0</v>
      </c>
      <c r="BF131" s="74">
        <f>131</f>
        <v>131</v>
      </c>
      <c r="BH131" s="49">
        <f>G131*AO131</f>
        <v>0</v>
      </c>
      <c r="BI131" s="49">
        <f>G131*AP131</f>
        <v>0</v>
      </c>
      <c r="BJ131" s="49">
        <f>G131*H131</f>
        <v>0</v>
      </c>
    </row>
    <row r="132" spans="2:12" ht="38.25" customHeight="1">
      <c r="B132" s="24" t="s">
        <v>60</v>
      </c>
      <c r="C132" s="32" t="s">
        <v>233</v>
      </c>
      <c r="D132" s="40"/>
      <c r="E132" s="40"/>
      <c r="F132" s="40"/>
      <c r="G132" s="40"/>
      <c r="H132" s="40"/>
      <c r="I132" s="40"/>
      <c r="J132" s="40"/>
      <c r="K132" s="40"/>
      <c r="L132" s="40"/>
    </row>
    <row r="133" spans="1:62" ht="12.75">
      <c r="A133" s="12" t="s">
        <v>47</v>
      </c>
      <c r="B133" s="12" t="s">
        <v>103</v>
      </c>
      <c r="C133" s="12" t="s">
        <v>234</v>
      </c>
      <c r="D133" s="42"/>
      <c r="E133" s="42"/>
      <c r="F133" s="12" t="s">
        <v>266</v>
      </c>
      <c r="G133" s="49">
        <v>1</v>
      </c>
      <c r="H133" s="49">
        <v>0</v>
      </c>
      <c r="I133" s="49">
        <f>G133*AO133</f>
        <v>0</v>
      </c>
      <c r="J133" s="49">
        <f>G133*AP133</f>
        <v>0</v>
      </c>
      <c r="K133" s="49">
        <f>G133*H133</f>
        <v>0</v>
      </c>
      <c r="L133" s="70" t="s">
        <v>285</v>
      </c>
      <c r="Z133" s="74">
        <f>IF(AQ133="5",BJ133,0)</f>
        <v>0</v>
      </c>
      <c r="AB133" s="74">
        <f>IF(AQ133="1",BH133,0)</f>
        <v>0</v>
      </c>
      <c r="AC133" s="74">
        <f>IF(AQ133="1",BI133,0)</f>
        <v>0</v>
      </c>
      <c r="AD133" s="74">
        <f>IF(AQ133="7",BH133,0)</f>
        <v>0</v>
      </c>
      <c r="AE133" s="74">
        <f>IF(AQ133="7",BI133,0)</f>
        <v>0</v>
      </c>
      <c r="AF133" s="74">
        <f>IF(AQ133="2",BH133,0)</f>
        <v>0</v>
      </c>
      <c r="AG133" s="74">
        <f>IF(AQ133="2",BI133,0)</f>
        <v>0</v>
      </c>
      <c r="AH133" s="74">
        <f>IF(AQ133="0",BJ133,0)</f>
        <v>0</v>
      </c>
      <c r="AI133" s="69"/>
      <c r="AJ133" s="49">
        <f>IF(AN133=0,K133,0)</f>
        <v>0</v>
      </c>
      <c r="AK133" s="49">
        <f>IF(AN133=15,K133,0)</f>
        <v>0</v>
      </c>
      <c r="AL133" s="49">
        <f>IF(AN133=21,K133,0)</f>
        <v>0</v>
      </c>
      <c r="AN133" s="74">
        <v>21</v>
      </c>
      <c r="AO133" s="74">
        <f>H133*1</f>
        <v>0</v>
      </c>
      <c r="AP133" s="74">
        <f>H133*(1-1)</f>
        <v>0</v>
      </c>
      <c r="AQ133" s="70" t="s">
        <v>7</v>
      </c>
      <c r="AV133" s="74">
        <f>AW133+AX133</f>
        <v>0</v>
      </c>
      <c r="AW133" s="74">
        <f>G133*AO133</f>
        <v>0</v>
      </c>
      <c r="AX133" s="74">
        <f>G133*AP133</f>
        <v>0</v>
      </c>
      <c r="AY133" s="75" t="s">
        <v>307</v>
      </c>
      <c r="AZ133" s="75" t="s">
        <v>312</v>
      </c>
      <c r="BA133" s="69" t="s">
        <v>313</v>
      </c>
      <c r="BC133" s="74">
        <f>AW133+AX133</f>
        <v>0</v>
      </c>
      <c r="BD133" s="74">
        <f>H133/(100-BE133)*100</f>
        <v>0</v>
      </c>
      <c r="BE133" s="74">
        <v>0</v>
      </c>
      <c r="BF133" s="74">
        <f>133</f>
        <v>133</v>
      </c>
      <c r="BH133" s="49">
        <f>G133*AO133</f>
        <v>0</v>
      </c>
      <c r="BI133" s="49">
        <f>G133*AP133</f>
        <v>0</v>
      </c>
      <c r="BJ133" s="49">
        <f>G133*H133</f>
        <v>0</v>
      </c>
    </row>
    <row r="134" spans="2:12" ht="25.5" customHeight="1">
      <c r="B134" s="24" t="s">
        <v>60</v>
      </c>
      <c r="C134" s="32" t="s">
        <v>235</v>
      </c>
      <c r="D134" s="40"/>
      <c r="E134" s="40"/>
      <c r="F134" s="40"/>
      <c r="G134" s="40"/>
      <c r="H134" s="40"/>
      <c r="I134" s="40"/>
      <c r="J134" s="40"/>
      <c r="K134" s="40"/>
      <c r="L134" s="40"/>
    </row>
    <row r="135" spans="1:62" ht="12.75">
      <c r="A135" s="10" t="s">
        <v>48</v>
      </c>
      <c r="B135" s="10" t="s">
        <v>104</v>
      </c>
      <c r="C135" s="10" t="s">
        <v>236</v>
      </c>
      <c r="D135" s="38"/>
      <c r="E135" s="38"/>
      <c r="F135" s="10" t="s">
        <v>263</v>
      </c>
      <c r="G135" s="47">
        <v>1</v>
      </c>
      <c r="H135" s="47">
        <v>0</v>
      </c>
      <c r="I135" s="47">
        <f>G135*AO135</f>
        <v>0</v>
      </c>
      <c r="J135" s="47">
        <f>G135*AP135</f>
        <v>0</v>
      </c>
      <c r="K135" s="47">
        <f>G135*H135</f>
        <v>0</v>
      </c>
      <c r="L135" s="68" t="s">
        <v>285</v>
      </c>
      <c r="Z135" s="74">
        <f>IF(AQ135="5",BJ135,0)</f>
        <v>0</v>
      </c>
      <c r="AB135" s="74">
        <f>IF(AQ135="1",BH135,0)</f>
        <v>0</v>
      </c>
      <c r="AC135" s="74">
        <f>IF(AQ135="1",BI135,0)</f>
        <v>0</v>
      </c>
      <c r="AD135" s="74">
        <f>IF(AQ135="7",BH135,0)</f>
        <v>0</v>
      </c>
      <c r="AE135" s="74">
        <f>IF(AQ135="7",BI135,0)</f>
        <v>0</v>
      </c>
      <c r="AF135" s="74">
        <f>IF(AQ135="2",BH135,0)</f>
        <v>0</v>
      </c>
      <c r="AG135" s="74">
        <f>IF(AQ135="2",BI135,0)</f>
        <v>0</v>
      </c>
      <c r="AH135" s="74">
        <f>IF(AQ135="0",BJ135,0)</f>
        <v>0</v>
      </c>
      <c r="AI135" s="69"/>
      <c r="AJ135" s="47">
        <f>IF(AN135=0,K135,0)</f>
        <v>0</v>
      </c>
      <c r="AK135" s="47">
        <f>IF(AN135=15,K135,0)</f>
        <v>0</v>
      </c>
      <c r="AL135" s="47">
        <f>IF(AN135=21,K135,0)</f>
        <v>0</v>
      </c>
      <c r="AN135" s="74">
        <v>21</v>
      </c>
      <c r="AO135" s="74">
        <f>H135*0.391073094867807</f>
        <v>0</v>
      </c>
      <c r="AP135" s="74">
        <f>H135*(1-0.391073094867807)</f>
        <v>0</v>
      </c>
      <c r="AQ135" s="68" t="s">
        <v>7</v>
      </c>
      <c r="AV135" s="74">
        <f>AW135+AX135</f>
        <v>0</v>
      </c>
      <c r="AW135" s="74">
        <f>G135*AO135</f>
        <v>0</v>
      </c>
      <c r="AX135" s="74">
        <f>G135*AP135</f>
        <v>0</v>
      </c>
      <c r="AY135" s="75" t="s">
        <v>307</v>
      </c>
      <c r="AZ135" s="75" t="s">
        <v>312</v>
      </c>
      <c r="BA135" s="69" t="s">
        <v>313</v>
      </c>
      <c r="BC135" s="74">
        <f>AW135+AX135</f>
        <v>0</v>
      </c>
      <c r="BD135" s="74">
        <f>H135/(100-BE135)*100</f>
        <v>0</v>
      </c>
      <c r="BE135" s="74">
        <v>0</v>
      </c>
      <c r="BF135" s="74">
        <f>135</f>
        <v>135</v>
      </c>
      <c r="BH135" s="47">
        <f>G135*AO135</f>
        <v>0</v>
      </c>
      <c r="BI135" s="47">
        <f>G135*AP135</f>
        <v>0</v>
      </c>
      <c r="BJ135" s="47">
        <f>G135*H135</f>
        <v>0</v>
      </c>
    </row>
    <row r="136" spans="3:7" ht="12.75">
      <c r="C136" s="31" t="s">
        <v>237</v>
      </c>
      <c r="D136" s="39"/>
      <c r="E136" s="39"/>
      <c r="G136" s="48">
        <v>1</v>
      </c>
    </row>
    <row r="137" spans="1:47" ht="12.75">
      <c r="A137" s="11"/>
      <c r="B137" s="25" t="s">
        <v>105</v>
      </c>
      <c r="C137" s="25" t="s">
        <v>238</v>
      </c>
      <c r="D137" s="41"/>
      <c r="E137" s="41"/>
      <c r="F137" s="11" t="s">
        <v>6</v>
      </c>
      <c r="G137" s="11" t="s">
        <v>6</v>
      </c>
      <c r="H137" s="11" t="s">
        <v>6</v>
      </c>
      <c r="I137" s="77">
        <f>SUM(I138:I138)</f>
        <v>0</v>
      </c>
      <c r="J137" s="77">
        <f>SUM(J138:J138)</f>
        <v>0</v>
      </c>
      <c r="K137" s="77">
        <f>SUM(K138:K138)</f>
        <v>0</v>
      </c>
      <c r="L137" s="69"/>
      <c r="AI137" s="69"/>
      <c r="AS137" s="77">
        <f>SUM(AJ138:AJ138)</f>
        <v>0</v>
      </c>
      <c r="AT137" s="77">
        <f>SUM(AK138:AK138)</f>
        <v>0</v>
      </c>
      <c r="AU137" s="77">
        <f>SUM(AL138:AL138)</f>
        <v>0</v>
      </c>
    </row>
    <row r="138" spans="1:62" ht="12.75">
      <c r="A138" s="10" t="s">
        <v>49</v>
      </c>
      <c r="B138" s="10" t="s">
        <v>106</v>
      </c>
      <c r="C138" s="10" t="s">
        <v>239</v>
      </c>
      <c r="D138" s="38"/>
      <c r="E138" s="38"/>
      <c r="F138" s="10" t="s">
        <v>263</v>
      </c>
      <c r="G138" s="47">
        <v>14</v>
      </c>
      <c r="H138" s="47">
        <v>0</v>
      </c>
      <c r="I138" s="47">
        <f>G138*AO138</f>
        <v>0</v>
      </c>
      <c r="J138" s="47">
        <f>G138*AP138</f>
        <v>0</v>
      </c>
      <c r="K138" s="47">
        <f>G138*H138</f>
        <v>0</v>
      </c>
      <c r="L138" s="68" t="s">
        <v>285</v>
      </c>
      <c r="Z138" s="74">
        <f>IF(AQ138="5",BJ138,0)</f>
        <v>0</v>
      </c>
      <c r="AB138" s="74">
        <f>IF(AQ138="1",BH138,0)</f>
        <v>0</v>
      </c>
      <c r="AC138" s="74">
        <f>IF(AQ138="1",BI138,0)</f>
        <v>0</v>
      </c>
      <c r="AD138" s="74">
        <f>IF(AQ138="7",BH138,0)</f>
        <v>0</v>
      </c>
      <c r="AE138" s="74">
        <f>IF(AQ138="7",BI138,0)</f>
        <v>0</v>
      </c>
      <c r="AF138" s="74">
        <f>IF(AQ138="2",BH138,0)</f>
        <v>0</v>
      </c>
      <c r="AG138" s="74">
        <f>IF(AQ138="2",BI138,0)</f>
        <v>0</v>
      </c>
      <c r="AH138" s="74">
        <f>IF(AQ138="0",BJ138,0)</f>
        <v>0</v>
      </c>
      <c r="AI138" s="69"/>
      <c r="AJ138" s="47">
        <f>IF(AN138=0,K138,0)</f>
        <v>0</v>
      </c>
      <c r="AK138" s="47">
        <f>IF(AN138=15,K138,0)</f>
        <v>0</v>
      </c>
      <c r="AL138" s="47">
        <f>IF(AN138=21,K138,0)</f>
        <v>0</v>
      </c>
      <c r="AN138" s="74">
        <v>21</v>
      </c>
      <c r="AO138" s="74">
        <f>H138*0</f>
        <v>0</v>
      </c>
      <c r="AP138" s="74">
        <f>H138*(1-0)</f>
        <v>0</v>
      </c>
      <c r="AQ138" s="68" t="s">
        <v>7</v>
      </c>
      <c r="AV138" s="74">
        <f>AW138+AX138</f>
        <v>0</v>
      </c>
      <c r="AW138" s="74">
        <f>G138*AO138</f>
        <v>0</v>
      </c>
      <c r="AX138" s="74">
        <f>G138*AP138</f>
        <v>0</v>
      </c>
      <c r="AY138" s="75" t="s">
        <v>308</v>
      </c>
      <c r="AZ138" s="75" t="s">
        <v>312</v>
      </c>
      <c r="BA138" s="69" t="s">
        <v>313</v>
      </c>
      <c r="BC138" s="74">
        <f>AW138+AX138</f>
        <v>0</v>
      </c>
      <c r="BD138" s="74">
        <f>H138/(100-BE138)*100</f>
        <v>0</v>
      </c>
      <c r="BE138" s="74">
        <v>0</v>
      </c>
      <c r="BF138" s="74">
        <f>138</f>
        <v>138</v>
      </c>
      <c r="BH138" s="47">
        <f>G138*AO138</f>
        <v>0</v>
      </c>
      <c r="BI138" s="47">
        <f>G138*AP138</f>
        <v>0</v>
      </c>
      <c r="BJ138" s="47">
        <f>G138*H138</f>
        <v>0</v>
      </c>
    </row>
    <row r="139" spans="1:47" ht="12.75">
      <c r="A139" s="11"/>
      <c r="B139" s="25" t="s">
        <v>107</v>
      </c>
      <c r="C139" s="25" t="s">
        <v>240</v>
      </c>
      <c r="D139" s="41"/>
      <c r="E139" s="41"/>
      <c r="F139" s="11" t="s">
        <v>6</v>
      </c>
      <c r="G139" s="11" t="s">
        <v>6</v>
      </c>
      <c r="H139" s="11" t="s">
        <v>6</v>
      </c>
      <c r="I139" s="77">
        <f>SUM(I140:I154)</f>
        <v>0</v>
      </c>
      <c r="J139" s="77">
        <f>SUM(J140:J154)</f>
        <v>0</v>
      </c>
      <c r="K139" s="77">
        <f>SUM(K140:K154)</f>
        <v>0</v>
      </c>
      <c r="L139" s="69"/>
      <c r="AI139" s="69"/>
      <c r="AS139" s="77">
        <f>SUM(AJ140:AJ154)</f>
        <v>0</v>
      </c>
      <c r="AT139" s="77">
        <f>SUM(AK140:AK154)</f>
        <v>0</v>
      </c>
      <c r="AU139" s="77">
        <f>SUM(AL140:AL154)</f>
        <v>0</v>
      </c>
    </row>
    <row r="140" spans="1:62" ht="12.75">
      <c r="A140" s="10" t="s">
        <v>50</v>
      </c>
      <c r="B140" s="10" t="s">
        <v>108</v>
      </c>
      <c r="C140" s="10" t="s">
        <v>241</v>
      </c>
      <c r="D140" s="38"/>
      <c r="E140" s="38"/>
      <c r="F140" s="10" t="s">
        <v>267</v>
      </c>
      <c r="G140" s="47">
        <v>41.481</v>
      </c>
      <c r="H140" s="47">
        <v>0</v>
      </c>
      <c r="I140" s="47">
        <f>G140*AO140</f>
        <v>0</v>
      </c>
      <c r="J140" s="47">
        <f>G140*AP140</f>
        <v>0</v>
      </c>
      <c r="K140" s="47">
        <f>G140*H140</f>
        <v>0</v>
      </c>
      <c r="L140" s="68" t="s">
        <v>285</v>
      </c>
      <c r="Z140" s="74">
        <f>IF(AQ140="5",BJ140,0)</f>
        <v>0</v>
      </c>
      <c r="AB140" s="74">
        <f>IF(AQ140="1",BH140,0)</f>
        <v>0</v>
      </c>
      <c r="AC140" s="74">
        <f>IF(AQ140="1",BI140,0)</f>
        <v>0</v>
      </c>
      <c r="AD140" s="74">
        <f>IF(AQ140="7",BH140,0)</f>
        <v>0</v>
      </c>
      <c r="AE140" s="74">
        <f>IF(AQ140="7",BI140,0)</f>
        <v>0</v>
      </c>
      <c r="AF140" s="74">
        <f>IF(AQ140="2",BH140,0)</f>
        <v>0</v>
      </c>
      <c r="AG140" s="74">
        <f>IF(AQ140="2",BI140,0)</f>
        <v>0</v>
      </c>
      <c r="AH140" s="74">
        <f>IF(AQ140="0",BJ140,0)</f>
        <v>0</v>
      </c>
      <c r="AI140" s="69"/>
      <c r="AJ140" s="47">
        <f>IF(AN140=0,K140,0)</f>
        <v>0</v>
      </c>
      <c r="AK140" s="47">
        <f>IF(AN140=15,K140,0)</f>
        <v>0</v>
      </c>
      <c r="AL140" s="47">
        <f>IF(AN140=21,K140,0)</f>
        <v>0</v>
      </c>
      <c r="AN140" s="74">
        <v>21</v>
      </c>
      <c r="AO140" s="74">
        <f>H140*0</f>
        <v>0</v>
      </c>
      <c r="AP140" s="74">
        <f>H140*(1-0)</f>
        <v>0</v>
      </c>
      <c r="AQ140" s="68" t="s">
        <v>11</v>
      </c>
      <c r="AV140" s="74">
        <f>AW140+AX140</f>
        <v>0</v>
      </c>
      <c r="AW140" s="74">
        <f>G140*AO140</f>
        <v>0</v>
      </c>
      <c r="AX140" s="74">
        <f>G140*AP140</f>
        <v>0</v>
      </c>
      <c r="AY140" s="75" t="s">
        <v>309</v>
      </c>
      <c r="AZ140" s="75" t="s">
        <v>312</v>
      </c>
      <c r="BA140" s="69" t="s">
        <v>313</v>
      </c>
      <c r="BC140" s="74">
        <f>AW140+AX140</f>
        <v>0</v>
      </c>
      <c r="BD140" s="74">
        <f>H140/(100-BE140)*100</f>
        <v>0</v>
      </c>
      <c r="BE140" s="74">
        <v>0</v>
      </c>
      <c r="BF140" s="74">
        <f>140</f>
        <v>140</v>
      </c>
      <c r="BH140" s="47">
        <f>G140*AO140</f>
        <v>0</v>
      </c>
      <c r="BI140" s="47">
        <f>G140*AP140</f>
        <v>0</v>
      </c>
      <c r="BJ140" s="47">
        <f>G140*H140</f>
        <v>0</v>
      </c>
    </row>
    <row r="141" spans="3:7" ht="12.75">
      <c r="C141" s="31" t="s">
        <v>242</v>
      </c>
      <c r="D141" s="39"/>
      <c r="E141" s="39"/>
      <c r="G141" s="48">
        <v>11.484</v>
      </c>
    </row>
    <row r="142" spans="3:7" ht="12.75">
      <c r="C142" s="31" t="s">
        <v>243</v>
      </c>
      <c r="D142" s="39"/>
      <c r="E142" s="39"/>
      <c r="G142" s="48">
        <v>29.997</v>
      </c>
    </row>
    <row r="143" spans="1:62" ht="12.75">
      <c r="A143" s="10" t="s">
        <v>51</v>
      </c>
      <c r="B143" s="10" t="s">
        <v>109</v>
      </c>
      <c r="C143" s="10" t="s">
        <v>244</v>
      </c>
      <c r="D143" s="38"/>
      <c r="E143" s="38"/>
      <c r="F143" s="10" t="s">
        <v>267</v>
      </c>
      <c r="G143" s="47">
        <v>373.329</v>
      </c>
      <c r="H143" s="47">
        <v>0</v>
      </c>
      <c r="I143" s="47">
        <f>G143*AO143</f>
        <v>0</v>
      </c>
      <c r="J143" s="47">
        <f>G143*AP143</f>
        <v>0</v>
      </c>
      <c r="K143" s="47">
        <f>G143*H143</f>
        <v>0</v>
      </c>
      <c r="L143" s="68" t="s">
        <v>285</v>
      </c>
      <c r="Z143" s="74">
        <f>IF(AQ143="5",BJ143,0)</f>
        <v>0</v>
      </c>
      <c r="AB143" s="74">
        <f>IF(AQ143="1",BH143,0)</f>
        <v>0</v>
      </c>
      <c r="AC143" s="74">
        <f>IF(AQ143="1",BI143,0)</f>
        <v>0</v>
      </c>
      <c r="AD143" s="74">
        <f>IF(AQ143="7",BH143,0)</f>
        <v>0</v>
      </c>
      <c r="AE143" s="74">
        <f>IF(AQ143="7",BI143,0)</f>
        <v>0</v>
      </c>
      <c r="AF143" s="74">
        <f>IF(AQ143="2",BH143,0)</f>
        <v>0</v>
      </c>
      <c r="AG143" s="74">
        <f>IF(AQ143="2",BI143,0)</f>
        <v>0</v>
      </c>
      <c r="AH143" s="74">
        <f>IF(AQ143="0",BJ143,0)</f>
        <v>0</v>
      </c>
      <c r="AI143" s="69"/>
      <c r="AJ143" s="47">
        <f>IF(AN143=0,K143,0)</f>
        <v>0</v>
      </c>
      <c r="AK143" s="47">
        <f>IF(AN143=15,K143,0)</f>
        <v>0</v>
      </c>
      <c r="AL143" s="47">
        <f>IF(AN143=21,K143,0)</f>
        <v>0</v>
      </c>
      <c r="AN143" s="74">
        <v>21</v>
      </c>
      <c r="AO143" s="74">
        <f>H143*0</f>
        <v>0</v>
      </c>
      <c r="AP143" s="74">
        <f>H143*(1-0)</f>
        <v>0</v>
      </c>
      <c r="AQ143" s="68" t="s">
        <v>11</v>
      </c>
      <c r="AV143" s="74">
        <f>AW143+AX143</f>
        <v>0</v>
      </c>
      <c r="AW143" s="74">
        <f>G143*AO143</f>
        <v>0</v>
      </c>
      <c r="AX143" s="74">
        <f>G143*AP143</f>
        <v>0</v>
      </c>
      <c r="AY143" s="75" t="s">
        <v>309</v>
      </c>
      <c r="AZ143" s="75" t="s">
        <v>312</v>
      </c>
      <c r="BA143" s="69" t="s">
        <v>313</v>
      </c>
      <c r="BC143" s="74">
        <f>AW143+AX143</f>
        <v>0</v>
      </c>
      <c r="BD143" s="74">
        <f>H143/(100-BE143)*100</f>
        <v>0</v>
      </c>
      <c r="BE143" s="74">
        <v>0</v>
      </c>
      <c r="BF143" s="74">
        <f>143</f>
        <v>143</v>
      </c>
      <c r="BH143" s="47">
        <f>G143*AO143</f>
        <v>0</v>
      </c>
      <c r="BI143" s="47">
        <f>G143*AP143</f>
        <v>0</v>
      </c>
      <c r="BJ143" s="47">
        <f>G143*H143</f>
        <v>0</v>
      </c>
    </row>
    <row r="144" spans="3:7" ht="12.75">
      <c r="C144" s="31" t="s">
        <v>245</v>
      </c>
      <c r="D144" s="39"/>
      <c r="E144" s="39"/>
      <c r="G144" s="48">
        <v>373.329</v>
      </c>
    </row>
    <row r="145" spans="1:62" ht="12.75">
      <c r="A145" s="10" t="s">
        <v>52</v>
      </c>
      <c r="B145" s="10" t="s">
        <v>110</v>
      </c>
      <c r="C145" s="10" t="s">
        <v>246</v>
      </c>
      <c r="D145" s="38"/>
      <c r="E145" s="38"/>
      <c r="F145" s="10" t="s">
        <v>267</v>
      </c>
      <c r="G145" s="47">
        <v>23.349</v>
      </c>
      <c r="H145" s="47">
        <v>0</v>
      </c>
      <c r="I145" s="47">
        <f>G145*AO145</f>
        <v>0</v>
      </c>
      <c r="J145" s="47">
        <f>G145*AP145</f>
        <v>0</v>
      </c>
      <c r="K145" s="47">
        <f>G145*H145</f>
        <v>0</v>
      </c>
      <c r="L145" s="68" t="s">
        <v>285</v>
      </c>
      <c r="Z145" s="74">
        <f>IF(AQ145="5",BJ145,0)</f>
        <v>0</v>
      </c>
      <c r="AB145" s="74">
        <f>IF(AQ145="1",BH145,0)</f>
        <v>0</v>
      </c>
      <c r="AC145" s="74">
        <f>IF(AQ145="1",BI145,0)</f>
        <v>0</v>
      </c>
      <c r="AD145" s="74">
        <f>IF(AQ145="7",BH145,0)</f>
        <v>0</v>
      </c>
      <c r="AE145" s="74">
        <f>IF(AQ145="7",BI145,0)</f>
        <v>0</v>
      </c>
      <c r="AF145" s="74">
        <f>IF(AQ145="2",BH145,0)</f>
        <v>0</v>
      </c>
      <c r="AG145" s="74">
        <f>IF(AQ145="2",BI145,0)</f>
        <v>0</v>
      </c>
      <c r="AH145" s="74">
        <f>IF(AQ145="0",BJ145,0)</f>
        <v>0</v>
      </c>
      <c r="AI145" s="69"/>
      <c r="AJ145" s="47">
        <f>IF(AN145=0,K145,0)</f>
        <v>0</v>
      </c>
      <c r="AK145" s="47">
        <f>IF(AN145=15,K145,0)</f>
        <v>0</v>
      </c>
      <c r="AL145" s="47">
        <f>IF(AN145=21,K145,0)</f>
        <v>0</v>
      </c>
      <c r="AN145" s="74">
        <v>21</v>
      </c>
      <c r="AO145" s="74">
        <f>H145*0</f>
        <v>0</v>
      </c>
      <c r="AP145" s="74">
        <f>H145*(1-0)</f>
        <v>0</v>
      </c>
      <c r="AQ145" s="68" t="s">
        <v>11</v>
      </c>
      <c r="AV145" s="74">
        <f>AW145+AX145</f>
        <v>0</v>
      </c>
      <c r="AW145" s="74">
        <f>G145*AO145</f>
        <v>0</v>
      </c>
      <c r="AX145" s="74">
        <f>G145*AP145</f>
        <v>0</v>
      </c>
      <c r="AY145" s="75" t="s">
        <v>309</v>
      </c>
      <c r="AZ145" s="75" t="s">
        <v>312</v>
      </c>
      <c r="BA145" s="69" t="s">
        <v>313</v>
      </c>
      <c r="BC145" s="74">
        <f>AW145+AX145</f>
        <v>0</v>
      </c>
      <c r="BD145" s="74">
        <f>H145/(100-BE145)*100</f>
        <v>0</v>
      </c>
      <c r="BE145" s="74">
        <v>0</v>
      </c>
      <c r="BF145" s="74">
        <f>145</f>
        <v>145</v>
      </c>
      <c r="BH145" s="47">
        <f>G145*AO145</f>
        <v>0</v>
      </c>
      <c r="BI145" s="47">
        <f>G145*AP145</f>
        <v>0</v>
      </c>
      <c r="BJ145" s="47">
        <f>G145*H145</f>
        <v>0</v>
      </c>
    </row>
    <row r="146" spans="3:7" ht="12.75">
      <c r="C146" s="31" t="s">
        <v>247</v>
      </c>
      <c r="D146" s="39"/>
      <c r="E146" s="39"/>
      <c r="G146" s="48">
        <v>19.14</v>
      </c>
    </row>
    <row r="147" spans="3:7" ht="12.75">
      <c r="C147" s="31" t="s">
        <v>248</v>
      </c>
      <c r="D147" s="39"/>
      <c r="E147" s="39"/>
      <c r="G147" s="48">
        <v>4.209</v>
      </c>
    </row>
    <row r="148" spans="1:62" ht="12.75">
      <c r="A148" s="10" t="s">
        <v>53</v>
      </c>
      <c r="B148" s="10" t="s">
        <v>111</v>
      </c>
      <c r="C148" s="10" t="s">
        <v>249</v>
      </c>
      <c r="D148" s="38"/>
      <c r="E148" s="38"/>
      <c r="F148" s="10" t="s">
        <v>267</v>
      </c>
      <c r="G148" s="47">
        <v>23.349</v>
      </c>
      <c r="H148" s="47">
        <v>0</v>
      </c>
      <c r="I148" s="47">
        <f>G148*AO148</f>
        <v>0</v>
      </c>
      <c r="J148" s="47">
        <f>G148*AP148</f>
        <v>0</v>
      </c>
      <c r="K148" s="47">
        <f>G148*H148</f>
        <v>0</v>
      </c>
      <c r="L148" s="68" t="s">
        <v>285</v>
      </c>
      <c r="Z148" s="74">
        <f>IF(AQ148="5",BJ148,0)</f>
        <v>0</v>
      </c>
      <c r="AB148" s="74">
        <f>IF(AQ148="1",BH148,0)</f>
        <v>0</v>
      </c>
      <c r="AC148" s="74">
        <f>IF(AQ148="1",BI148,0)</f>
        <v>0</v>
      </c>
      <c r="AD148" s="74">
        <f>IF(AQ148="7",BH148,0)</f>
        <v>0</v>
      </c>
      <c r="AE148" s="74">
        <f>IF(AQ148="7",BI148,0)</f>
        <v>0</v>
      </c>
      <c r="AF148" s="74">
        <f>IF(AQ148="2",BH148,0)</f>
        <v>0</v>
      </c>
      <c r="AG148" s="74">
        <f>IF(AQ148="2",BI148,0)</f>
        <v>0</v>
      </c>
      <c r="AH148" s="74">
        <f>IF(AQ148="0",BJ148,0)</f>
        <v>0</v>
      </c>
      <c r="AI148" s="69"/>
      <c r="AJ148" s="47">
        <f>IF(AN148=0,K148,0)</f>
        <v>0</v>
      </c>
      <c r="AK148" s="47">
        <f>IF(AN148=15,K148,0)</f>
        <v>0</v>
      </c>
      <c r="AL148" s="47">
        <f>IF(AN148=21,K148,0)</f>
        <v>0</v>
      </c>
      <c r="AN148" s="74">
        <v>21</v>
      </c>
      <c r="AO148" s="74">
        <f>H148*0</f>
        <v>0</v>
      </c>
      <c r="AP148" s="74">
        <f>H148*(1-0)</f>
        <v>0</v>
      </c>
      <c r="AQ148" s="68" t="s">
        <v>11</v>
      </c>
      <c r="AV148" s="74">
        <f>AW148+AX148</f>
        <v>0</v>
      </c>
      <c r="AW148" s="74">
        <f>G148*AO148</f>
        <v>0</v>
      </c>
      <c r="AX148" s="74">
        <f>G148*AP148</f>
        <v>0</v>
      </c>
      <c r="AY148" s="75" t="s">
        <v>309</v>
      </c>
      <c r="AZ148" s="75" t="s">
        <v>312</v>
      </c>
      <c r="BA148" s="69" t="s">
        <v>313</v>
      </c>
      <c r="BC148" s="74">
        <f>AW148+AX148</f>
        <v>0</v>
      </c>
      <c r="BD148" s="74">
        <f>H148/(100-BE148)*100</f>
        <v>0</v>
      </c>
      <c r="BE148" s="74">
        <v>0</v>
      </c>
      <c r="BF148" s="74">
        <f>148</f>
        <v>148</v>
      </c>
      <c r="BH148" s="47">
        <f>G148*AO148</f>
        <v>0</v>
      </c>
      <c r="BI148" s="47">
        <f>G148*AP148</f>
        <v>0</v>
      </c>
      <c r="BJ148" s="47">
        <f>G148*H148</f>
        <v>0</v>
      </c>
    </row>
    <row r="149" spans="1:62" ht="12.75">
      <c r="A149" s="10" t="s">
        <v>54</v>
      </c>
      <c r="B149" s="10" t="s">
        <v>112</v>
      </c>
      <c r="C149" s="10" t="s">
        <v>250</v>
      </c>
      <c r="D149" s="38"/>
      <c r="E149" s="38"/>
      <c r="F149" s="10" t="s">
        <v>267</v>
      </c>
      <c r="G149" s="47">
        <v>53.346</v>
      </c>
      <c r="H149" s="47">
        <v>0</v>
      </c>
      <c r="I149" s="47">
        <f>G149*AO149</f>
        <v>0</v>
      </c>
      <c r="J149" s="47">
        <f>G149*AP149</f>
        <v>0</v>
      </c>
      <c r="K149" s="47">
        <f>G149*H149</f>
        <v>0</v>
      </c>
      <c r="L149" s="68" t="s">
        <v>288</v>
      </c>
      <c r="Z149" s="74">
        <f>IF(AQ149="5",BJ149,0)</f>
        <v>0</v>
      </c>
      <c r="AB149" s="74">
        <f>IF(AQ149="1",BH149,0)</f>
        <v>0</v>
      </c>
      <c r="AC149" s="74">
        <f>IF(AQ149="1",BI149,0)</f>
        <v>0</v>
      </c>
      <c r="AD149" s="74">
        <f>IF(AQ149="7",BH149,0)</f>
        <v>0</v>
      </c>
      <c r="AE149" s="74">
        <f>IF(AQ149="7",BI149,0)</f>
        <v>0</v>
      </c>
      <c r="AF149" s="74">
        <f>IF(AQ149="2",BH149,0)</f>
        <v>0</v>
      </c>
      <c r="AG149" s="74">
        <f>IF(AQ149="2",BI149,0)</f>
        <v>0</v>
      </c>
      <c r="AH149" s="74">
        <f>IF(AQ149="0",BJ149,0)</f>
        <v>0</v>
      </c>
      <c r="AI149" s="69"/>
      <c r="AJ149" s="47">
        <f>IF(AN149=0,K149,0)</f>
        <v>0</v>
      </c>
      <c r="AK149" s="47">
        <f>IF(AN149=15,K149,0)</f>
        <v>0</v>
      </c>
      <c r="AL149" s="47">
        <f>IF(AN149=21,K149,0)</f>
        <v>0</v>
      </c>
      <c r="AN149" s="74">
        <v>21</v>
      </c>
      <c r="AO149" s="74">
        <f>H149*0</f>
        <v>0</v>
      </c>
      <c r="AP149" s="74">
        <f>H149*(1-0)</f>
        <v>0</v>
      </c>
      <c r="AQ149" s="68" t="s">
        <v>11</v>
      </c>
      <c r="AV149" s="74">
        <f>AW149+AX149</f>
        <v>0</v>
      </c>
      <c r="AW149" s="74">
        <f>G149*AO149</f>
        <v>0</v>
      </c>
      <c r="AX149" s="74">
        <f>G149*AP149</f>
        <v>0</v>
      </c>
      <c r="AY149" s="75" t="s">
        <v>309</v>
      </c>
      <c r="AZ149" s="75" t="s">
        <v>312</v>
      </c>
      <c r="BA149" s="69" t="s">
        <v>313</v>
      </c>
      <c r="BC149" s="74">
        <f>AW149+AX149</f>
        <v>0</v>
      </c>
      <c r="BD149" s="74">
        <f>H149/(100-BE149)*100</f>
        <v>0</v>
      </c>
      <c r="BE149" s="74">
        <v>0</v>
      </c>
      <c r="BF149" s="74">
        <f>149</f>
        <v>149</v>
      </c>
      <c r="BH149" s="47">
        <f>G149*AO149</f>
        <v>0</v>
      </c>
      <c r="BI149" s="47">
        <f>G149*AP149</f>
        <v>0</v>
      </c>
      <c r="BJ149" s="47">
        <f>G149*H149</f>
        <v>0</v>
      </c>
    </row>
    <row r="150" spans="3:7" ht="12.75">
      <c r="C150" s="31" t="s">
        <v>251</v>
      </c>
      <c r="D150" s="39"/>
      <c r="E150" s="39"/>
      <c r="G150" s="48">
        <v>53.346</v>
      </c>
    </row>
    <row r="151" spans="1:62" ht="12.75">
      <c r="A151" s="10" t="s">
        <v>55</v>
      </c>
      <c r="B151" s="10" t="s">
        <v>113</v>
      </c>
      <c r="C151" s="10" t="s">
        <v>252</v>
      </c>
      <c r="D151" s="38"/>
      <c r="E151" s="38"/>
      <c r="F151" s="10" t="s">
        <v>267</v>
      </c>
      <c r="G151" s="47">
        <v>11.484</v>
      </c>
      <c r="H151" s="47">
        <v>0</v>
      </c>
      <c r="I151" s="47">
        <f>G151*AO151</f>
        <v>0</v>
      </c>
      <c r="J151" s="47">
        <f>G151*AP151</f>
        <v>0</v>
      </c>
      <c r="K151" s="47">
        <f>G151*H151</f>
        <v>0</v>
      </c>
      <c r="L151" s="68" t="s">
        <v>285</v>
      </c>
      <c r="Z151" s="74">
        <f>IF(AQ151="5",BJ151,0)</f>
        <v>0</v>
      </c>
      <c r="AB151" s="74">
        <f>IF(AQ151="1",BH151,0)</f>
        <v>0</v>
      </c>
      <c r="AC151" s="74">
        <f>IF(AQ151="1",BI151,0)</f>
        <v>0</v>
      </c>
      <c r="AD151" s="74">
        <f>IF(AQ151="7",BH151,0)</f>
        <v>0</v>
      </c>
      <c r="AE151" s="74">
        <f>IF(AQ151="7",BI151,0)</f>
        <v>0</v>
      </c>
      <c r="AF151" s="74">
        <f>IF(AQ151="2",BH151,0)</f>
        <v>0</v>
      </c>
      <c r="AG151" s="74">
        <f>IF(AQ151="2",BI151,0)</f>
        <v>0</v>
      </c>
      <c r="AH151" s="74">
        <f>IF(AQ151="0",BJ151,0)</f>
        <v>0</v>
      </c>
      <c r="AI151" s="69"/>
      <c r="AJ151" s="47">
        <f>IF(AN151=0,K151,0)</f>
        <v>0</v>
      </c>
      <c r="AK151" s="47">
        <f>IF(AN151=15,K151,0)</f>
        <v>0</v>
      </c>
      <c r="AL151" s="47">
        <f>IF(AN151=21,K151,0)</f>
        <v>0</v>
      </c>
      <c r="AN151" s="74">
        <v>21</v>
      </c>
      <c r="AO151" s="74">
        <f>H151*0</f>
        <v>0</v>
      </c>
      <c r="AP151" s="74">
        <f>H151*(1-0)</f>
        <v>0</v>
      </c>
      <c r="AQ151" s="68" t="s">
        <v>11</v>
      </c>
      <c r="AV151" s="74">
        <f>AW151+AX151</f>
        <v>0</v>
      </c>
      <c r="AW151" s="74">
        <f>G151*AO151</f>
        <v>0</v>
      </c>
      <c r="AX151" s="74">
        <f>G151*AP151</f>
        <v>0</v>
      </c>
      <c r="AY151" s="75" t="s">
        <v>309</v>
      </c>
      <c r="AZ151" s="75" t="s">
        <v>312</v>
      </c>
      <c r="BA151" s="69" t="s">
        <v>313</v>
      </c>
      <c r="BC151" s="74">
        <f>AW151+AX151</f>
        <v>0</v>
      </c>
      <c r="BD151" s="74">
        <f>H151/(100-BE151)*100</f>
        <v>0</v>
      </c>
      <c r="BE151" s="74">
        <v>0</v>
      </c>
      <c r="BF151" s="74">
        <f>151</f>
        <v>151</v>
      </c>
      <c r="BH151" s="47">
        <f>G151*AO151</f>
        <v>0</v>
      </c>
      <c r="BI151" s="47">
        <f>G151*AP151</f>
        <v>0</v>
      </c>
      <c r="BJ151" s="47">
        <f>G151*H151</f>
        <v>0</v>
      </c>
    </row>
    <row r="152" spans="3:7" ht="12.75">
      <c r="C152" s="31" t="s">
        <v>253</v>
      </c>
      <c r="D152" s="39"/>
      <c r="E152" s="39"/>
      <c r="G152" s="48">
        <v>11.484</v>
      </c>
    </row>
    <row r="153" spans="2:12" ht="12.75">
      <c r="B153" s="24" t="s">
        <v>60</v>
      </c>
      <c r="C153" s="32" t="s">
        <v>254</v>
      </c>
      <c r="D153" s="40"/>
      <c r="E153" s="40"/>
      <c r="F153" s="40"/>
      <c r="G153" s="40"/>
      <c r="H153" s="40"/>
      <c r="I153" s="40"/>
      <c r="J153" s="40"/>
      <c r="K153" s="40"/>
      <c r="L153" s="40"/>
    </row>
    <row r="154" spans="1:62" ht="12.75">
      <c r="A154" s="13" t="s">
        <v>56</v>
      </c>
      <c r="B154" s="13" t="s">
        <v>114</v>
      </c>
      <c r="C154" s="13" t="s">
        <v>255</v>
      </c>
      <c r="D154" s="43"/>
      <c r="E154" s="43"/>
      <c r="F154" s="13" t="s">
        <v>267</v>
      </c>
      <c r="G154" s="50">
        <v>106.11981</v>
      </c>
      <c r="H154" s="50">
        <v>0</v>
      </c>
      <c r="I154" s="50">
        <f>G154*AO154</f>
        <v>0</v>
      </c>
      <c r="J154" s="50">
        <f>G154*AP154</f>
        <v>0</v>
      </c>
      <c r="K154" s="50">
        <f>G154*H154</f>
        <v>0</v>
      </c>
      <c r="L154" s="71" t="s">
        <v>285</v>
      </c>
      <c r="Z154" s="74">
        <f>IF(AQ154="5",BJ154,0)</f>
        <v>0</v>
      </c>
      <c r="AB154" s="74">
        <f>IF(AQ154="1",BH154,0)</f>
        <v>0</v>
      </c>
      <c r="AC154" s="74">
        <f>IF(AQ154="1",BI154,0)</f>
        <v>0</v>
      </c>
      <c r="AD154" s="74">
        <f>IF(AQ154="7",BH154,0)</f>
        <v>0</v>
      </c>
      <c r="AE154" s="74">
        <f>IF(AQ154="7",BI154,0)</f>
        <v>0</v>
      </c>
      <c r="AF154" s="74">
        <f>IF(AQ154="2",BH154,0)</f>
        <v>0</v>
      </c>
      <c r="AG154" s="74">
        <f>IF(AQ154="2",BI154,0)</f>
        <v>0</v>
      </c>
      <c r="AH154" s="74">
        <f>IF(AQ154="0",BJ154,0)</f>
        <v>0</v>
      </c>
      <c r="AI154" s="69"/>
      <c r="AJ154" s="47">
        <f>IF(AN154=0,K154,0)</f>
        <v>0</v>
      </c>
      <c r="AK154" s="47">
        <f>IF(AN154=15,K154,0)</f>
        <v>0</v>
      </c>
      <c r="AL154" s="47">
        <f>IF(AN154=21,K154,0)</f>
        <v>0</v>
      </c>
      <c r="AN154" s="74">
        <v>21</v>
      </c>
      <c r="AO154" s="74">
        <f>H154*0</f>
        <v>0</v>
      </c>
      <c r="AP154" s="74">
        <f>H154*(1-0)</f>
        <v>0</v>
      </c>
      <c r="AQ154" s="68" t="s">
        <v>11</v>
      </c>
      <c r="AV154" s="74">
        <f>AW154+AX154</f>
        <v>0</v>
      </c>
      <c r="AW154" s="74">
        <f>G154*AO154</f>
        <v>0</v>
      </c>
      <c r="AX154" s="74">
        <f>G154*AP154</f>
        <v>0</v>
      </c>
      <c r="AY154" s="75" t="s">
        <v>309</v>
      </c>
      <c r="AZ154" s="75" t="s">
        <v>312</v>
      </c>
      <c r="BA154" s="69" t="s">
        <v>313</v>
      </c>
      <c r="BC154" s="74">
        <f>AW154+AX154</f>
        <v>0</v>
      </c>
      <c r="BD154" s="74">
        <f>H154/(100-BE154)*100</f>
        <v>0</v>
      </c>
      <c r="BE154" s="74">
        <v>0</v>
      </c>
      <c r="BF154" s="74">
        <f>154</f>
        <v>154</v>
      </c>
      <c r="BH154" s="47">
        <f>G154*AO154</f>
        <v>0</v>
      </c>
      <c r="BI154" s="47">
        <f>G154*AP154</f>
        <v>0</v>
      </c>
      <c r="BJ154" s="47">
        <f>G154*H154</f>
        <v>0</v>
      </c>
    </row>
    <row r="155" spans="1:12" ht="12.75">
      <c r="A155" s="14"/>
      <c r="B155" s="14"/>
      <c r="C155" s="14"/>
      <c r="D155" s="14"/>
      <c r="E155" s="14"/>
      <c r="F155" s="14"/>
      <c r="G155" s="14"/>
      <c r="H155" s="14"/>
      <c r="I155" s="56" t="s">
        <v>280</v>
      </c>
      <c r="J155" s="59"/>
      <c r="K155" s="78">
        <f>K12+K27+K33+K41+K45+K53+K55+K66+K71+K102+K137+K139</f>
        <v>0</v>
      </c>
      <c r="L155" s="14"/>
    </row>
    <row r="156" ht="11.25" customHeight="1">
      <c r="A156" s="15" t="s">
        <v>57</v>
      </c>
    </row>
    <row r="157" spans="1:12" ht="12.75">
      <c r="A157" s="16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</row>
  </sheetData>
  <mergeCells count="173">
    <mergeCell ref="A1:L1"/>
    <mergeCell ref="A2:B3"/>
    <mergeCell ref="C2:C3"/>
    <mergeCell ref="D2:E3"/>
    <mergeCell ref="F2:G3"/>
    <mergeCell ref="H2:H3"/>
    <mergeCell ref="I2:L3"/>
    <mergeCell ref="A4:B5"/>
    <mergeCell ref="C4:C5"/>
    <mergeCell ref="D4:E5"/>
    <mergeCell ref="F4:G5"/>
    <mergeCell ref="H4:H5"/>
    <mergeCell ref="I4:L5"/>
    <mergeCell ref="A6:B7"/>
    <mergeCell ref="C6:C7"/>
    <mergeCell ref="D6:E7"/>
    <mergeCell ref="F6:G7"/>
    <mergeCell ref="H6:H7"/>
    <mergeCell ref="I6:L7"/>
    <mergeCell ref="A8:B9"/>
    <mergeCell ref="C8:C9"/>
    <mergeCell ref="D8:E9"/>
    <mergeCell ref="F8:G9"/>
    <mergeCell ref="H8:H9"/>
    <mergeCell ref="I8:L9"/>
    <mergeCell ref="C10:E10"/>
    <mergeCell ref="I10:K10"/>
    <mergeCell ref="C11:E11"/>
    <mergeCell ref="C12:E12"/>
    <mergeCell ref="C13:E13"/>
    <mergeCell ref="C14:E14"/>
    <mergeCell ref="C15:E15"/>
    <mergeCell ref="C16:L16"/>
    <mergeCell ref="C17:E17"/>
    <mergeCell ref="C18:E18"/>
    <mergeCell ref="C19:L19"/>
    <mergeCell ref="C20:E20"/>
    <mergeCell ref="C21:E21"/>
    <mergeCell ref="C22:L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L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L44"/>
    <mergeCell ref="C45:E45"/>
    <mergeCell ref="C46:E46"/>
    <mergeCell ref="C47:E47"/>
    <mergeCell ref="C48:E48"/>
    <mergeCell ref="C49:L49"/>
    <mergeCell ref="C50:E50"/>
    <mergeCell ref="C51:E51"/>
    <mergeCell ref="C52:L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L74"/>
    <mergeCell ref="C75:E75"/>
    <mergeCell ref="C76:E76"/>
    <mergeCell ref="C77:E77"/>
    <mergeCell ref="C78:L78"/>
    <mergeCell ref="C79:E79"/>
    <mergeCell ref="C80:E80"/>
    <mergeCell ref="C81:E81"/>
    <mergeCell ref="C82:L82"/>
    <mergeCell ref="C83:E83"/>
    <mergeCell ref="C84:E84"/>
    <mergeCell ref="C85:E85"/>
    <mergeCell ref="C86:L86"/>
    <mergeCell ref="C87:E87"/>
    <mergeCell ref="C88:E88"/>
    <mergeCell ref="C89:E89"/>
    <mergeCell ref="C90:L90"/>
    <mergeCell ref="C91:L91"/>
    <mergeCell ref="C92:E92"/>
    <mergeCell ref="C93:E93"/>
    <mergeCell ref="C94:L94"/>
    <mergeCell ref="C95:E95"/>
    <mergeCell ref="C96:E96"/>
    <mergeCell ref="C97:E97"/>
    <mergeCell ref="C98:L98"/>
    <mergeCell ref="C99:E99"/>
    <mergeCell ref="C100:E100"/>
    <mergeCell ref="C101:E101"/>
    <mergeCell ref="C102:E102"/>
    <mergeCell ref="C103:E103"/>
    <mergeCell ref="C104:E104"/>
    <mergeCell ref="C105:E105"/>
    <mergeCell ref="C106:E106"/>
    <mergeCell ref="C107:L107"/>
    <mergeCell ref="C108:E108"/>
    <mergeCell ref="C109:E109"/>
    <mergeCell ref="C110:E110"/>
    <mergeCell ref="C111:L111"/>
    <mergeCell ref="C112:E112"/>
    <mergeCell ref="C113:E113"/>
    <mergeCell ref="C114:E114"/>
    <mergeCell ref="C115:L115"/>
    <mergeCell ref="C116:E116"/>
    <mergeCell ref="C117:E117"/>
    <mergeCell ref="C118:E118"/>
    <mergeCell ref="C119:L119"/>
    <mergeCell ref="C120:E120"/>
    <mergeCell ref="C121:E121"/>
    <mergeCell ref="C122:E122"/>
    <mergeCell ref="C123:E123"/>
    <mergeCell ref="C124:L124"/>
    <mergeCell ref="C125:E125"/>
    <mergeCell ref="C126:E126"/>
    <mergeCell ref="C127:L127"/>
    <mergeCell ref="C128:E128"/>
    <mergeCell ref="C129:E129"/>
    <mergeCell ref="C130:L130"/>
    <mergeCell ref="C131:E131"/>
    <mergeCell ref="C132:L132"/>
    <mergeCell ref="C133:E133"/>
    <mergeCell ref="C134:L134"/>
    <mergeCell ref="C135:E135"/>
    <mergeCell ref="C136:E136"/>
    <mergeCell ref="C137:E137"/>
    <mergeCell ref="C138:E138"/>
    <mergeCell ref="C139:E139"/>
    <mergeCell ref="C140:E140"/>
    <mergeCell ref="C141:E141"/>
    <mergeCell ref="C142:E142"/>
    <mergeCell ref="C143:E143"/>
    <mergeCell ref="C144:E144"/>
    <mergeCell ref="C145:E145"/>
    <mergeCell ref="C146:E146"/>
    <mergeCell ref="C147:E147"/>
    <mergeCell ref="C148:E148"/>
    <mergeCell ref="C149:E149"/>
    <mergeCell ref="C150:E150"/>
    <mergeCell ref="C151:E151"/>
    <mergeCell ref="C152:E152"/>
    <mergeCell ref="C153:L153"/>
    <mergeCell ref="C154:E154"/>
    <mergeCell ref="I155:J155"/>
    <mergeCell ref="A157:L157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workbookViewId="0" topLeftCell="A1">
      <pane ySplit="10" topLeftCell="A11" activePane="bottomLeft" state="frozen"/>
      <selection pane="bottomLeft" activeCell="A1" sqref="A1:F1"/>
    </sheetView>
  </sheetViews>
  <sheetFormatPr defaultColWidth="11.57421875" defaultRowHeight="12.75"/>
  <cols>
    <col min="1" max="1" width="16.57421875" customWidth="1"/>
    <col min="2" max="2" width="41.7109375" customWidth="1"/>
    <col min="4" max="4" width="22.140625" customWidth="1"/>
    <col min="5" max="5" width="21.00390625" customWidth="1"/>
    <col min="6" max="6" width="20.8515625" customWidth="1"/>
    <col min="7" max="8" width="0" hidden="1" customWidth="1"/>
  </cols>
  <sheetData>
    <row r="1" spans="1:6" ht="72.75" customHeight="1">
      <c r="A1" s="132" t="s">
        <v>317</v>
      </c>
      <c r="B1" s="17"/>
      <c r="C1" s="17"/>
      <c r="D1" s="17"/>
      <c r="E1" s="17"/>
      <c r="F1" s="17"/>
    </row>
    <row r="2" spans="1:7" ht="12.75">
      <c r="A2" s="3" t="s">
        <v>1</v>
      </c>
      <c r="B2" s="26" t="str">
        <f>'Stavební rozpočet'!C2</f>
        <v>Ulice Husova, Hybešova - parkovací stání</v>
      </c>
      <c r="C2" s="59"/>
      <c r="D2" s="51" t="s">
        <v>269</v>
      </c>
      <c r="E2" s="51" t="str">
        <f>'Stavební rozpočet'!I2</f>
        <v>Město Šlapanice</v>
      </c>
      <c r="F2" s="62"/>
      <c r="G2" s="72"/>
    </row>
    <row r="3" spans="1:7" ht="12.75">
      <c r="A3" s="4"/>
      <c r="B3" s="27"/>
      <c r="C3" s="27"/>
      <c r="D3" s="19"/>
      <c r="E3" s="19"/>
      <c r="F3" s="63"/>
      <c r="G3" s="72"/>
    </row>
    <row r="4" spans="1:7" ht="12.75">
      <c r="A4" s="5" t="s">
        <v>2</v>
      </c>
      <c r="B4" s="16" t="str">
        <f>'Stavební rozpočet'!C4</f>
        <v>SO02 Ulice Hybešova</v>
      </c>
      <c r="C4" s="19"/>
      <c r="D4" s="16" t="s">
        <v>270</v>
      </c>
      <c r="E4" s="16" t="str">
        <f>'Stavební rozpočet'!I4</f>
        <v>Matula, projekční kancelář, Šumavská 15, Brno, 602</v>
      </c>
      <c r="F4" s="63"/>
      <c r="G4" s="72"/>
    </row>
    <row r="5" spans="1:7" ht="12.75">
      <c r="A5" s="4"/>
      <c r="B5" s="19"/>
      <c r="C5" s="19"/>
      <c r="D5" s="19"/>
      <c r="E5" s="19"/>
      <c r="F5" s="63"/>
      <c r="G5" s="72"/>
    </row>
    <row r="6" spans="1:7" ht="12.75">
      <c r="A6" s="5" t="s">
        <v>3</v>
      </c>
      <c r="B6" s="16" t="str">
        <f>'Stavební rozpočet'!C6</f>
        <v>Šlapanice</v>
      </c>
      <c r="C6" s="19"/>
      <c r="D6" s="16" t="s">
        <v>271</v>
      </c>
      <c r="E6" s="16">
        <f>'Stavební rozpočet'!I6</f>
        <v>0</v>
      </c>
      <c r="F6" s="63"/>
      <c r="G6" s="72"/>
    </row>
    <row r="7" spans="1:7" ht="12.75">
      <c r="A7" s="4"/>
      <c r="B7" s="19"/>
      <c r="C7" s="19"/>
      <c r="D7" s="19"/>
      <c r="E7" s="19"/>
      <c r="F7" s="63"/>
      <c r="G7" s="72"/>
    </row>
    <row r="8" spans="1:7" ht="12.75">
      <c r="A8" s="5" t="s">
        <v>272</v>
      </c>
      <c r="B8" s="16" t="str">
        <f>'Stavební rozpočet'!I8</f>
        <v>Ing. Krejčíková</v>
      </c>
      <c r="C8" s="19"/>
      <c r="D8" s="34" t="s">
        <v>259</v>
      </c>
      <c r="E8" s="16" t="str">
        <f>'Stavební rozpočet'!F8</f>
        <v>04.04.2018</v>
      </c>
      <c r="F8" s="63"/>
      <c r="G8" s="72"/>
    </row>
    <row r="9" spans="1:7" ht="12.75">
      <c r="A9" s="6"/>
      <c r="B9" s="20"/>
      <c r="C9" s="20"/>
      <c r="D9" s="20"/>
      <c r="E9" s="20"/>
      <c r="F9" s="64"/>
      <c r="G9" s="72"/>
    </row>
    <row r="10" spans="1:7" ht="12.75">
      <c r="A10" s="79" t="s">
        <v>58</v>
      </c>
      <c r="B10" s="81" t="s">
        <v>318</v>
      </c>
      <c r="C10" s="82"/>
      <c r="D10" s="84" t="s">
        <v>319</v>
      </c>
      <c r="E10" s="84" t="s">
        <v>320</v>
      </c>
      <c r="F10" s="84" t="s">
        <v>321</v>
      </c>
      <c r="G10" s="72"/>
    </row>
    <row r="11" spans="1:8" ht="12.75">
      <c r="A11" s="80" t="s">
        <v>17</v>
      </c>
      <c r="B11" s="80" t="s">
        <v>120</v>
      </c>
      <c r="C11" s="83"/>
      <c r="D11" s="86">
        <f>'Stavební rozpočet'!I12</f>
        <v>0</v>
      </c>
      <c r="E11" s="86">
        <f>'Stavební rozpočet'!J12</f>
        <v>0</v>
      </c>
      <c r="F11" s="86">
        <f>'Stavební rozpočet'!K12</f>
        <v>0</v>
      </c>
      <c r="G11" s="74" t="s">
        <v>322</v>
      </c>
      <c r="H11" s="74">
        <f>IF(G11="F",0,F11)</f>
        <v>0</v>
      </c>
    </row>
    <row r="12" spans="1:8" ht="12.75">
      <c r="A12" s="34" t="s">
        <v>18</v>
      </c>
      <c r="B12" s="34" t="s">
        <v>134</v>
      </c>
      <c r="C12" s="19"/>
      <c r="D12" s="74">
        <f>'Stavební rozpočet'!I27</f>
        <v>0</v>
      </c>
      <c r="E12" s="74">
        <f>'Stavební rozpočet'!J27</f>
        <v>0</v>
      </c>
      <c r="F12" s="74">
        <f>'Stavební rozpočet'!K27</f>
        <v>0</v>
      </c>
      <c r="G12" s="74" t="s">
        <v>322</v>
      </c>
      <c r="H12" s="74">
        <f>IF(G12="F",0,F12)</f>
        <v>0</v>
      </c>
    </row>
    <row r="13" spans="1:8" ht="12.75">
      <c r="A13" s="34" t="s">
        <v>22</v>
      </c>
      <c r="B13" s="34" t="s">
        <v>140</v>
      </c>
      <c r="C13" s="19"/>
      <c r="D13" s="74">
        <f>'Stavební rozpočet'!I33</f>
        <v>0</v>
      </c>
      <c r="E13" s="74">
        <f>'Stavební rozpočet'!J33</f>
        <v>0</v>
      </c>
      <c r="F13" s="74">
        <f>'Stavební rozpočet'!K33</f>
        <v>0</v>
      </c>
      <c r="G13" s="74" t="s">
        <v>322</v>
      </c>
      <c r="H13" s="74">
        <f>IF(G13="F",0,F13)</f>
        <v>0</v>
      </c>
    </row>
    <row r="14" spans="1:8" ht="12.75">
      <c r="A14" s="34" t="s">
        <v>23</v>
      </c>
      <c r="B14" s="34" t="s">
        <v>148</v>
      </c>
      <c r="C14" s="19"/>
      <c r="D14" s="74">
        <f>'Stavební rozpočet'!I41</f>
        <v>0</v>
      </c>
      <c r="E14" s="74">
        <f>'Stavební rozpočet'!J41</f>
        <v>0</v>
      </c>
      <c r="F14" s="74">
        <f>'Stavební rozpočet'!K41</f>
        <v>0</v>
      </c>
      <c r="G14" s="74" t="s">
        <v>322</v>
      </c>
      <c r="H14" s="74">
        <f>IF(G14="F",0,F14)</f>
        <v>0</v>
      </c>
    </row>
    <row r="15" spans="1:8" ht="12.75">
      <c r="A15" s="34" t="s">
        <v>24</v>
      </c>
      <c r="B15" s="34" t="s">
        <v>152</v>
      </c>
      <c r="C15" s="19"/>
      <c r="D15" s="74">
        <f>'Stavební rozpočet'!I45</f>
        <v>0</v>
      </c>
      <c r="E15" s="74">
        <f>'Stavební rozpočet'!J45</f>
        <v>0</v>
      </c>
      <c r="F15" s="74">
        <f>'Stavební rozpočet'!K45</f>
        <v>0</v>
      </c>
      <c r="G15" s="74" t="s">
        <v>322</v>
      </c>
      <c r="H15" s="74">
        <f>IF(G15="F",0,F15)</f>
        <v>0</v>
      </c>
    </row>
    <row r="16" spans="1:8" ht="12.75">
      <c r="A16" s="34" t="s">
        <v>25</v>
      </c>
      <c r="B16" s="34" t="s">
        <v>160</v>
      </c>
      <c r="C16" s="19"/>
      <c r="D16" s="74">
        <f>'Stavební rozpočet'!I53</f>
        <v>0</v>
      </c>
      <c r="E16" s="74">
        <f>'Stavební rozpočet'!J53</f>
        <v>0</v>
      </c>
      <c r="F16" s="74">
        <f>'Stavební rozpočet'!K53</f>
        <v>0</v>
      </c>
      <c r="G16" s="74" t="s">
        <v>322</v>
      </c>
      <c r="H16" s="74">
        <f>IF(G16="F",0,F16)</f>
        <v>0</v>
      </c>
    </row>
    <row r="17" spans="1:8" ht="12.75">
      <c r="A17" s="34" t="s">
        <v>76</v>
      </c>
      <c r="B17" s="34" t="s">
        <v>162</v>
      </c>
      <c r="C17" s="19"/>
      <c r="D17" s="74">
        <f>'Stavební rozpočet'!I55</f>
        <v>0</v>
      </c>
      <c r="E17" s="74">
        <f>'Stavební rozpočet'!J55</f>
        <v>0</v>
      </c>
      <c r="F17" s="74">
        <f>'Stavební rozpočet'!K55</f>
        <v>0</v>
      </c>
      <c r="G17" s="74" t="s">
        <v>322</v>
      </c>
      <c r="H17" s="74">
        <f>IF(G17="F",0,F17)</f>
        <v>0</v>
      </c>
    </row>
    <row r="18" spans="1:8" ht="12.75">
      <c r="A18" s="34" t="s">
        <v>81</v>
      </c>
      <c r="B18" s="34" t="s">
        <v>172</v>
      </c>
      <c r="C18" s="19"/>
      <c r="D18" s="74">
        <f>'Stavební rozpočet'!I66</f>
        <v>0</v>
      </c>
      <c r="E18" s="74">
        <f>'Stavební rozpočet'!J66</f>
        <v>0</v>
      </c>
      <c r="F18" s="74">
        <f>'Stavební rozpočet'!K66</f>
        <v>0</v>
      </c>
      <c r="G18" s="74" t="s">
        <v>322</v>
      </c>
      <c r="H18" s="74">
        <f>IF(G18="F",0,F18)</f>
        <v>0</v>
      </c>
    </row>
    <row r="19" spans="1:8" ht="12.75">
      <c r="A19" s="34" t="s">
        <v>84</v>
      </c>
      <c r="B19" s="34" t="s">
        <v>177</v>
      </c>
      <c r="C19" s="19"/>
      <c r="D19" s="74">
        <f>'Stavební rozpočet'!I71</f>
        <v>0</v>
      </c>
      <c r="E19" s="74">
        <f>'Stavební rozpočet'!J71</f>
        <v>0</v>
      </c>
      <c r="F19" s="74">
        <f>'Stavební rozpočet'!K71</f>
        <v>0</v>
      </c>
      <c r="G19" s="74" t="s">
        <v>322</v>
      </c>
      <c r="H19" s="74">
        <f>IF(G19="F",0,F19)</f>
        <v>0</v>
      </c>
    </row>
    <row r="20" spans="1:8" ht="12.75">
      <c r="A20" s="34" t="s">
        <v>93</v>
      </c>
      <c r="B20" s="34" t="s">
        <v>206</v>
      </c>
      <c r="C20" s="19"/>
      <c r="D20" s="74">
        <f>'Stavební rozpočet'!I102</f>
        <v>0</v>
      </c>
      <c r="E20" s="74">
        <f>'Stavební rozpočet'!J102</f>
        <v>0</v>
      </c>
      <c r="F20" s="74">
        <f>'Stavební rozpočet'!K102</f>
        <v>0</v>
      </c>
      <c r="G20" s="74" t="s">
        <v>322</v>
      </c>
      <c r="H20" s="74">
        <f>IF(G20="F",0,F20)</f>
        <v>0</v>
      </c>
    </row>
    <row r="21" spans="1:8" ht="12.75">
      <c r="A21" s="34" t="s">
        <v>105</v>
      </c>
      <c r="B21" s="34" t="s">
        <v>238</v>
      </c>
      <c r="C21" s="19"/>
      <c r="D21" s="74">
        <f>'Stavební rozpočet'!I137</f>
        <v>0</v>
      </c>
      <c r="E21" s="74">
        <f>'Stavební rozpočet'!J137</f>
        <v>0</v>
      </c>
      <c r="F21" s="74">
        <f>'Stavební rozpočet'!K137</f>
        <v>0</v>
      </c>
      <c r="G21" s="74" t="s">
        <v>322</v>
      </c>
      <c r="H21" s="74">
        <f>IF(G21="F",0,F21)</f>
        <v>0</v>
      </c>
    </row>
    <row r="22" spans="1:8" ht="12.75">
      <c r="A22" s="34" t="s">
        <v>107</v>
      </c>
      <c r="B22" s="34" t="s">
        <v>240</v>
      </c>
      <c r="C22" s="19"/>
      <c r="D22" s="74">
        <f>'Stavební rozpočet'!I139</f>
        <v>0</v>
      </c>
      <c r="E22" s="74">
        <f>'Stavební rozpočet'!J139</f>
        <v>0</v>
      </c>
      <c r="F22" s="74">
        <f>'Stavební rozpočet'!K139</f>
        <v>0</v>
      </c>
      <c r="G22" s="74" t="s">
        <v>322</v>
      </c>
      <c r="H22" s="74">
        <f>IF(G22="F",0,F22)</f>
        <v>0</v>
      </c>
    </row>
    <row r="24" spans="5:6" ht="12.75">
      <c r="E24" s="85" t="s">
        <v>280</v>
      </c>
      <c r="F24" s="87">
        <f>SUM(H11:H22)</f>
        <v>0</v>
      </c>
    </row>
  </sheetData>
  <mergeCells count="30">
    <mergeCell ref="A1:F1"/>
    <mergeCell ref="A2:A3"/>
    <mergeCell ref="B2:C3"/>
    <mergeCell ref="D2:D3"/>
    <mergeCell ref="E2:F3"/>
    <mergeCell ref="A4:A5"/>
    <mergeCell ref="B4:C5"/>
    <mergeCell ref="D4:D5"/>
    <mergeCell ref="E4:F5"/>
    <mergeCell ref="A6:A7"/>
    <mergeCell ref="B6:C7"/>
    <mergeCell ref="D6:D7"/>
    <mergeCell ref="E6:F7"/>
    <mergeCell ref="A8:A9"/>
    <mergeCell ref="B8:C9"/>
    <mergeCell ref="D8:D9"/>
    <mergeCell ref="E8:F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>
      <selection activeCell="A1" sqref="A1"/>
    </sheetView>
  </sheetViews>
  <sheetFormatPr defaultColWidth="11.57421875" defaultRowHeight="12.75"/>
  <cols>
    <col min="1" max="1" width="9.140625" customWidth="1"/>
    <col min="2" max="2" width="12.8515625" customWidth="1"/>
    <col min="3" max="3" width="22.8515625" customWidth="1"/>
    <col min="4" max="4" width="10.00390625" customWidth="1"/>
    <col min="5" max="5" width="14.00390625" customWidth="1"/>
    <col min="6" max="6" width="22.8515625" customWidth="1"/>
    <col min="7" max="7" width="9.140625" customWidth="1"/>
    <col min="8" max="8" width="12.8515625" customWidth="1"/>
    <col min="9" max="9" width="22.8515625" customWidth="1"/>
  </cols>
  <sheetData>
    <row r="1" spans="1:9" ht="72.75" customHeight="1">
      <c r="A1" s="131"/>
      <c r="B1" s="88"/>
      <c r="C1" s="111" t="s">
        <v>338</v>
      </c>
      <c r="D1" s="17"/>
      <c r="E1" s="17"/>
      <c r="F1" s="17"/>
      <c r="G1" s="17"/>
      <c r="H1" s="17"/>
      <c r="I1" s="17"/>
    </row>
    <row r="2" spans="1:10" ht="12.75">
      <c r="A2" s="3" t="s">
        <v>1</v>
      </c>
      <c r="B2" s="18"/>
      <c r="C2" s="26" t="str">
        <f>'Stavební rozpočet'!C2</f>
        <v>Ulice Husova, Hybešova - parkovací stání</v>
      </c>
      <c r="D2" s="59"/>
      <c r="E2" s="51" t="s">
        <v>269</v>
      </c>
      <c r="F2" s="51" t="str">
        <f>'Stavební rozpočet'!I2</f>
        <v>Město Šlapanice</v>
      </c>
      <c r="G2" s="18"/>
      <c r="H2" s="51" t="s">
        <v>363</v>
      </c>
      <c r="I2" s="125"/>
      <c r="J2" s="72"/>
    </row>
    <row r="3" spans="1:10" ht="12.75">
      <c r="A3" s="4"/>
      <c r="B3" s="19"/>
      <c r="C3" s="27"/>
      <c r="D3" s="27"/>
      <c r="E3" s="19"/>
      <c r="F3" s="19"/>
      <c r="G3" s="19"/>
      <c r="H3" s="19"/>
      <c r="I3" s="63"/>
      <c r="J3" s="72"/>
    </row>
    <row r="4" spans="1:10" ht="12.75">
      <c r="A4" s="5" t="s">
        <v>2</v>
      </c>
      <c r="B4" s="19"/>
      <c r="C4" s="16" t="str">
        <f>'Stavební rozpočet'!C4</f>
        <v>SO02 Ulice Hybešova</v>
      </c>
      <c r="D4" s="19"/>
      <c r="E4" s="16" t="s">
        <v>270</v>
      </c>
      <c r="F4" s="16" t="str">
        <f>'Stavební rozpočet'!I4</f>
        <v>Matula, projekční kancelář, Šumavská 15, Brno, 602</v>
      </c>
      <c r="G4" s="19"/>
      <c r="H4" s="16" t="s">
        <v>363</v>
      </c>
      <c r="I4" s="126"/>
      <c r="J4" s="72"/>
    </row>
    <row r="5" spans="1:10" ht="12.75">
      <c r="A5" s="4"/>
      <c r="B5" s="19"/>
      <c r="C5" s="19"/>
      <c r="D5" s="19"/>
      <c r="E5" s="19"/>
      <c r="F5" s="19"/>
      <c r="G5" s="19"/>
      <c r="H5" s="19"/>
      <c r="I5" s="63"/>
      <c r="J5" s="72"/>
    </row>
    <row r="6" spans="1:10" ht="12.75">
      <c r="A6" s="5" t="s">
        <v>3</v>
      </c>
      <c r="B6" s="19"/>
      <c r="C6" s="16" t="str">
        <f>'Stavební rozpočet'!C6</f>
        <v>Šlapanice</v>
      </c>
      <c r="D6" s="19"/>
      <c r="E6" s="16" t="s">
        <v>271</v>
      </c>
      <c r="F6" s="16">
        <f>'Stavební rozpočet'!I6</f>
        <v>0</v>
      </c>
      <c r="G6" s="19"/>
      <c r="H6" s="16" t="s">
        <v>363</v>
      </c>
      <c r="I6" s="126"/>
      <c r="J6" s="72"/>
    </row>
    <row r="7" spans="1:10" ht="12.75">
      <c r="A7" s="4"/>
      <c r="B7" s="19"/>
      <c r="C7" s="19"/>
      <c r="D7" s="19"/>
      <c r="E7" s="19"/>
      <c r="F7" s="19"/>
      <c r="G7" s="19"/>
      <c r="H7" s="19"/>
      <c r="I7" s="63"/>
      <c r="J7" s="72"/>
    </row>
    <row r="8" spans="1:10" ht="12.75">
      <c r="A8" s="5" t="s">
        <v>257</v>
      </c>
      <c r="B8" s="19"/>
      <c r="C8" s="16" t="str">
        <f>'Stavební rozpočet'!F4</f>
        <v> </v>
      </c>
      <c r="D8" s="19"/>
      <c r="E8" s="16" t="s">
        <v>258</v>
      </c>
      <c r="F8" s="16" t="str">
        <f>'Stavební rozpočet'!F6</f>
        <v> </v>
      </c>
      <c r="G8" s="19"/>
      <c r="H8" s="34" t="s">
        <v>364</v>
      </c>
      <c r="I8" s="126" t="s">
        <v>56</v>
      </c>
      <c r="J8" s="72"/>
    </row>
    <row r="9" spans="1:10" ht="12.75">
      <c r="A9" s="4"/>
      <c r="B9" s="19"/>
      <c r="C9" s="19"/>
      <c r="D9" s="19"/>
      <c r="E9" s="19"/>
      <c r="F9" s="19"/>
      <c r="G9" s="19"/>
      <c r="H9" s="19"/>
      <c r="I9" s="63"/>
      <c r="J9" s="72"/>
    </row>
    <row r="10" spans="1:10" ht="12.75">
      <c r="A10" s="5" t="s">
        <v>4</v>
      </c>
      <c r="B10" s="19"/>
      <c r="C10" s="16">
        <f>'Stavební rozpočet'!C8</f>
        <v>0</v>
      </c>
      <c r="D10" s="19"/>
      <c r="E10" s="16" t="s">
        <v>272</v>
      </c>
      <c r="F10" s="16" t="str">
        <f>'Stavební rozpočet'!I8</f>
        <v>Ing. Krejčíková</v>
      </c>
      <c r="G10" s="19"/>
      <c r="H10" s="34" t="s">
        <v>365</v>
      </c>
      <c r="I10" s="130" t="str">
        <f>'Stavební rozpočet'!F8</f>
        <v>04.04.2018</v>
      </c>
      <c r="J10" s="72"/>
    </row>
    <row r="11" spans="1:10" ht="12.75">
      <c r="A11" s="89"/>
      <c r="B11" s="101"/>
      <c r="C11" s="101"/>
      <c r="D11" s="101"/>
      <c r="E11" s="101"/>
      <c r="F11" s="101"/>
      <c r="G11" s="101"/>
      <c r="H11" s="101"/>
      <c r="I11" s="127"/>
      <c r="J11" s="72"/>
    </row>
    <row r="12" spans="1:9" ht="23.25" customHeight="1">
      <c r="A12" s="90" t="s">
        <v>323</v>
      </c>
      <c r="B12" s="102"/>
      <c r="C12" s="102"/>
      <c r="D12" s="102"/>
      <c r="E12" s="102"/>
      <c r="F12" s="102"/>
      <c r="G12" s="102"/>
      <c r="H12" s="102"/>
      <c r="I12" s="102"/>
    </row>
    <row r="13" spans="1:10" ht="26.25" customHeight="1">
      <c r="A13" s="91" t="s">
        <v>324</v>
      </c>
      <c r="B13" s="103" t="s">
        <v>336</v>
      </c>
      <c r="C13" s="112"/>
      <c r="D13" s="91" t="s">
        <v>339</v>
      </c>
      <c r="E13" s="103" t="s">
        <v>348</v>
      </c>
      <c r="F13" s="112"/>
      <c r="G13" s="91" t="s">
        <v>349</v>
      </c>
      <c r="H13" s="103" t="s">
        <v>366</v>
      </c>
      <c r="I13" s="112"/>
      <c r="J13" s="72"/>
    </row>
    <row r="14" spans="1:10" ht="15" customHeight="1">
      <c r="A14" s="92" t="s">
        <v>325</v>
      </c>
      <c r="B14" s="104" t="s">
        <v>337</v>
      </c>
      <c r="C14" s="120">
        <f>SUM('Stavební rozpočet'!AB12:AB154)</f>
        <v>0</v>
      </c>
      <c r="D14" s="117" t="s">
        <v>340</v>
      </c>
      <c r="E14" s="119"/>
      <c r="F14" s="120">
        <v>0</v>
      </c>
      <c r="G14" s="117" t="s">
        <v>350</v>
      </c>
      <c r="H14" s="119"/>
      <c r="I14" s="120">
        <v>0</v>
      </c>
      <c r="J14" s="72"/>
    </row>
    <row r="15" spans="1:10" ht="15" customHeight="1">
      <c r="A15" s="93"/>
      <c r="B15" s="104" t="s">
        <v>281</v>
      </c>
      <c r="C15" s="120">
        <f>SUM('Stavební rozpočet'!AC12:AC154)</f>
        <v>0</v>
      </c>
      <c r="D15" s="117" t="s">
        <v>341</v>
      </c>
      <c r="E15" s="119"/>
      <c r="F15" s="120">
        <v>0</v>
      </c>
      <c r="G15" s="117" t="s">
        <v>351</v>
      </c>
      <c r="H15" s="119"/>
      <c r="I15" s="120">
        <v>0</v>
      </c>
      <c r="J15" s="72"/>
    </row>
    <row r="16" spans="1:10" ht="15" customHeight="1">
      <c r="A16" s="92" t="s">
        <v>326</v>
      </c>
      <c r="B16" s="104" t="s">
        <v>337</v>
      </c>
      <c r="C16" s="120">
        <f>SUM('Stavební rozpočet'!AD12:AD154)</f>
        <v>0</v>
      </c>
      <c r="D16" s="117" t="s">
        <v>342</v>
      </c>
      <c r="E16" s="119"/>
      <c r="F16" s="120">
        <v>0</v>
      </c>
      <c r="G16" s="117" t="s">
        <v>352</v>
      </c>
      <c r="H16" s="119"/>
      <c r="I16" s="120">
        <v>0</v>
      </c>
      <c r="J16" s="72"/>
    </row>
    <row r="17" spans="1:10" ht="15" customHeight="1">
      <c r="A17" s="93"/>
      <c r="B17" s="104" t="s">
        <v>281</v>
      </c>
      <c r="C17" s="120">
        <f>SUM('Stavební rozpočet'!AE12:AE154)</f>
        <v>0</v>
      </c>
      <c r="D17" s="117"/>
      <c r="E17" s="119"/>
      <c r="F17" s="121"/>
      <c r="G17" s="117" t="s">
        <v>353</v>
      </c>
      <c r="H17" s="119"/>
      <c r="I17" s="120">
        <v>0</v>
      </c>
      <c r="J17" s="72"/>
    </row>
    <row r="18" spans="1:10" ht="15" customHeight="1">
      <c r="A18" s="92" t="s">
        <v>327</v>
      </c>
      <c r="B18" s="104" t="s">
        <v>337</v>
      </c>
      <c r="C18" s="120">
        <f>SUM('Stavební rozpočet'!AF12:AF154)</f>
        <v>0</v>
      </c>
      <c r="D18" s="117"/>
      <c r="E18" s="119"/>
      <c r="F18" s="121"/>
      <c r="G18" s="117" t="s">
        <v>354</v>
      </c>
      <c r="H18" s="119"/>
      <c r="I18" s="120">
        <v>0</v>
      </c>
      <c r="J18" s="72"/>
    </row>
    <row r="19" spans="1:10" ht="15" customHeight="1">
      <c r="A19" s="93"/>
      <c r="B19" s="104" t="s">
        <v>281</v>
      </c>
      <c r="C19" s="120">
        <f>SUM('Stavební rozpočet'!AG12:AG154)</f>
        <v>0</v>
      </c>
      <c r="D19" s="117"/>
      <c r="E19" s="119"/>
      <c r="F19" s="121"/>
      <c r="G19" s="117" t="s">
        <v>355</v>
      </c>
      <c r="H19" s="119"/>
      <c r="I19" s="120">
        <v>0</v>
      </c>
      <c r="J19" s="72"/>
    </row>
    <row r="20" spans="1:10" ht="15" customHeight="1">
      <c r="A20" s="94" t="s">
        <v>328</v>
      </c>
      <c r="B20" s="105"/>
      <c r="C20" s="120">
        <f>SUM('Stavební rozpočet'!AH12:AH154)</f>
        <v>0</v>
      </c>
      <c r="D20" s="117"/>
      <c r="E20" s="119"/>
      <c r="F20" s="121"/>
      <c r="G20" s="117"/>
      <c r="H20" s="119"/>
      <c r="I20" s="121"/>
      <c r="J20" s="72"/>
    </row>
    <row r="21" spans="1:10" ht="15" customHeight="1">
      <c r="A21" s="94" t="s">
        <v>329</v>
      </c>
      <c r="B21" s="105"/>
      <c r="C21" s="120">
        <f>SUM('Stavební rozpočet'!Z12:Z154)</f>
        <v>0</v>
      </c>
      <c r="D21" s="117"/>
      <c r="E21" s="119"/>
      <c r="F21" s="121"/>
      <c r="G21" s="117"/>
      <c r="H21" s="119"/>
      <c r="I21" s="121"/>
      <c r="J21" s="72"/>
    </row>
    <row r="22" spans="1:10" ht="16.5" customHeight="1">
      <c r="A22" s="94" t="s">
        <v>330</v>
      </c>
      <c r="B22" s="105"/>
      <c r="C22" s="120">
        <f>SUM(C14:C21)</f>
        <v>0</v>
      </c>
      <c r="D22" s="94" t="s">
        <v>343</v>
      </c>
      <c r="E22" s="105"/>
      <c r="F22" s="120">
        <f>SUM(F14:F21)</f>
        <v>0</v>
      </c>
      <c r="G22" s="94" t="s">
        <v>356</v>
      </c>
      <c r="H22" s="105"/>
      <c r="I22" s="120">
        <f>SUM(I14:I21)</f>
        <v>0</v>
      </c>
      <c r="J22" s="72"/>
    </row>
    <row r="23" spans="1:10" ht="15" customHeight="1">
      <c r="A23" s="14"/>
      <c r="B23" s="14"/>
      <c r="C23" s="113"/>
      <c r="D23" s="94" t="s">
        <v>344</v>
      </c>
      <c r="E23" s="105"/>
      <c r="F23" s="122">
        <v>0</v>
      </c>
      <c r="G23" s="94" t="s">
        <v>357</v>
      </c>
      <c r="H23" s="105"/>
      <c r="I23" s="120">
        <v>0</v>
      </c>
      <c r="J23" s="72"/>
    </row>
    <row r="24" spans="4:9" ht="15" customHeight="1">
      <c r="D24" s="14"/>
      <c r="E24" s="14"/>
      <c r="F24" s="123"/>
      <c r="G24" s="94" t="s">
        <v>358</v>
      </c>
      <c r="H24" s="105"/>
      <c r="I24" s="128"/>
    </row>
    <row r="25" spans="6:10" ht="15" customHeight="1">
      <c r="F25" s="124"/>
      <c r="G25" s="94" t="s">
        <v>359</v>
      </c>
      <c r="H25" s="105"/>
      <c r="I25" s="120">
        <v>0</v>
      </c>
      <c r="J25" s="72"/>
    </row>
    <row r="26" spans="1:9" ht="12.75">
      <c r="A26" s="88"/>
      <c r="B26" s="88"/>
      <c r="C26" s="88"/>
      <c r="G26" s="14"/>
      <c r="H26" s="14"/>
      <c r="I26" s="14"/>
    </row>
    <row r="27" spans="1:9" ht="15" customHeight="1">
      <c r="A27" s="95" t="s">
        <v>331</v>
      </c>
      <c r="B27" s="106"/>
      <c r="C27" s="129">
        <f>SUM('Stavební rozpočet'!AJ12:AJ154)</f>
        <v>0</v>
      </c>
      <c r="D27" s="118"/>
      <c r="E27" s="88"/>
      <c r="F27" s="88"/>
      <c r="G27" s="88"/>
      <c r="H27" s="88"/>
      <c r="I27" s="88"/>
    </row>
    <row r="28" spans="1:10" ht="15" customHeight="1">
      <c r="A28" s="95" t="s">
        <v>332</v>
      </c>
      <c r="B28" s="106"/>
      <c r="C28" s="129">
        <f>SUM('Stavební rozpočet'!AK12:AK154)</f>
        <v>0</v>
      </c>
      <c r="D28" s="95" t="s">
        <v>345</v>
      </c>
      <c r="E28" s="106"/>
      <c r="F28" s="129">
        <f>ROUND(C28*(15/100),2)</f>
        <v>0</v>
      </c>
      <c r="G28" s="95" t="s">
        <v>360</v>
      </c>
      <c r="H28" s="106"/>
      <c r="I28" s="129">
        <f>SUM(C27:C29)</f>
        <v>0</v>
      </c>
      <c r="J28" s="72"/>
    </row>
    <row r="29" spans="1:10" ht="15" customHeight="1">
      <c r="A29" s="95" t="s">
        <v>333</v>
      </c>
      <c r="B29" s="106"/>
      <c r="C29" s="129">
        <f>SUM('Stavební rozpočet'!AL12:AL154)+(F22+I22+F23+I23+I24+I25)</f>
        <v>0</v>
      </c>
      <c r="D29" s="95" t="s">
        <v>346</v>
      </c>
      <c r="E29" s="106"/>
      <c r="F29" s="129">
        <f>ROUND(C29*(21/100),2)</f>
        <v>0</v>
      </c>
      <c r="G29" s="95" t="s">
        <v>361</v>
      </c>
      <c r="H29" s="106"/>
      <c r="I29" s="129">
        <f>SUM(F28:F29)+I28</f>
        <v>0</v>
      </c>
      <c r="J29" s="72"/>
    </row>
    <row r="30" spans="1:9" ht="12.75">
      <c r="A30" s="96"/>
      <c r="B30" s="96"/>
      <c r="C30" s="96"/>
      <c r="D30" s="96"/>
      <c r="E30" s="96"/>
      <c r="F30" s="96"/>
      <c r="G30" s="96"/>
      <c r="H30" s="96"/>
      <c r="I30" s="96"/>
    </row>
    <row r="31" spans="1:10" ht="14.25" customHeight="1">
      <c r="A31" s="97" t="s">
        <v>334</v>
      </c>
      <c r="B31" s="107"/>
      <c r="C31" s="114"/>
      <c r="D31" s="97" t="s">
        <v>347</v>
      </c>
      <c r="E31" s="107"/>
      <c r="F31" s="114"/>
      <c r="G31" s="97" t="s">
        <v>362</v>
      </c>
      <c r="H31" s="107"/>
      <c r="I31" s="114"/>
      <c r="J31" s="73"/>
    </row>
    <row r="32" spans="1:10" ht="14.25" customHeight="1">
      <c r="A32" s="98"/>
      <c r="B32" s="108"/>
      <c r="C32" s="115"/>
      <c r="D32" s="98"/>
      <c r="E32" s="108"/>
      <c r="F32" s="115"/>
      <c r="G32" s="98"/>
      <c r="H32" s="108"/>
      <c r="I32" s="115"/>
      <c r="J32" s="73"/>
    </row>
    <row r="33" spans="1:10" ht="14.25" customHeight="1">
      <c r="A33" s="98"/>
      <c r="B33" s="108"/>
      <c r="C33" s="115"/>
      <c r="D33" s="98"/>
      <c r="E33" s="108"/>
      <c r="F33" s="115"/>
      <c r="G33" s="98"/>
      <c r="H33" s="108"/>
      <c r="I33" s="115"/>
      <c r="J33" s="73"/>
    </row>
    <row r="34" spans="1:10" ht="14.25" customHeight="1">
      <c r="A34" s="98"/>
      <c r="B34" s="108"/>
      <c r="C34" s="115"/>
      <c r="D34" s="98"/>
      <c r="E34" s="108"/>
      <c r="F34" s="115"/>
      <c r="G34" s="98"/>
      <c r="H34" s="108"/>
      <c r="I34" s="115"/>
      <c r="J34" s="73"/>
    </row>
    <row r="35" spans="1:10" ht="14.25" customHeight="1">
      <c r="A35" s="99" t="s">
        <v>335</v>
      </c>
      <c r="B35" s="109"/>
      <c r="C35" s="116"/>
      <c r="D35" s="99" t="s">
        <v>335</v>
      </c>
      <c r="E35" s="109"/>
      <c r="F35" s="116"/>
      <c r="G35" s="99" t="s">
        <v>335</v>
      </c>
      <c r="H35" s="109"/>
      <c r="I35" s="116"/>
      <c r="J35" s="73"/>
    </row>
    <row r="36" spans="1:9" ht="11.25" customHeight="1">
      <c r="A36" s="100" t="s">
        <v>57</v>
      </c>
      <c r="B36" s="110"/>
      <c r="C36" s="110"/>
      <c r="D36" s="110"/>
      <c r="E36" s="110"/>
      <c r="F36" s="110"/>
      <c r="G36" s="110"/>
      <c r="H36" s="110"/>
      <c r="I36" s="110"/>
    </row>
    <row r="37" spans="1:9" ht="12.75">
      <c r="A37" s="16"/>
      <c r="B37" s="19"/>
      <c r="C37" s="19"/>
      <c r="D37" s="19"/>
      <c r="E37" s="19"/>
      <c r="F37" s="19"/>
      <c r="G37" s="19"/>
      <c r="H37" s="19"/>
      <c r="I37" s="19"/>
    </row>
  </sheetData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4:C34"/>
    <mergeCell ref="D34:F34"/>
    <mergeCell ref="G34:I34"/>
    <mergeCell ref="A35:C35"/>
    <mergeCell ref="D35:F35"/>
    <mergeCell ref="G35:I35"/>
    <mergeCell ref="A37:I37"/>
  </mergeCells>
  <printOptions/>
  <pageMargins left="0.394" right="0.394" top="0.591" bottom="0.591" header="0.5" footer="0.5"/>
  <pageSetup fitToHeight="1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